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kumentumok\KT. ÜLÉSEK-ANYAGOK\2021\RENDELETEK KIHIRDETÉSE\"/>
    </mc:Choice>
  </mc:AlternateContent>
  <xr:revisionPtr revIDLastSave="0" documentId="13_ncr:1_{81FB3941-72EF-455C-9A50-00801C2B8EF6}" xr6:coauthVersionLast="46" xr6:coauthVersionMax="46" xr10:uidLastSave="{00000000-0000-0000-0000-000000000000}"/>
  <bookViews>
    <workbookView xWindow="-108" yWindow="-108" windowWidth="23256" windowHeight="12576" tabRatio="802" firstSheet="1" activeTab="6" xr2:uid="{00000000-000D-0000-FFFF-FFFF00000000}"/>
  </bookViews>
  <sheets>
    <sheet name="Munka1" sheetId="115" state="hidden" r:id="rId1"/>
    <sheet name="Tartalomjegyzék_2021" sheetId="70" r:id="rId2"/>
    <sheet name="1.Bev_kiad_kiemelt ei" sheetId="4" r:id="rId3"/>
    <sheet name="2.Bevételek_részletes" sheetId="31" r:id="rId4"/>
    <sheet name="2.Kiadások_részletes " sheetId="68" r:id="rId5"/>
    <sheet name="3. Gesz költségvetés" sheetId="45" r:id="rId6"/>
    <sheet name="4. Köt+önk_Önkori" sheetId="104" r:id="rId7"/>
    <sheet name="5. Köt+önk_PH" sheetId="97" r:id="rId8"/>
    <sheet name="6. Köt+önk_Szakorvosi" sheetId="98" r:id="rId9"/>
    <sheet name="7.Ligeti cseperedő Ovi" sheetId="108" r:id="rId10"/>
    <sheet name="8.Német nemzetiségi Ovi" sheetId="109" r:id="rId11"/>
    <sheet name="9.Művészetek Háza" sheetId="101" r:id="rId12"/>
    <sheet name="10.GESZ" sheetId="102" r:id="rId13"/>
    <sheet name="11. Bölcsöde" sheetId="103" r:id="rId14"/>
    <sheet name="12.-Támogatási bevételek (B (2)" sheetId="87" r:id="rId15"/>
    <sheet name="13.- Költségvetési támogatások" sheetId="90" r:id="rId16"/>
    <sheet name="14. Intézményi normatíva" sheetId="113" r:id="rId17"/>
    <sheet name="15. Működési bev. (B3,B4)" sheetId="6" r:id="rId18"/>
    <sheet name="16. Átvett pénze.(B6,B7)" sheetId="25" r:id="rId19"/>
    <sheet name="17. finanszírozás be_ki (B8,K9)" sheetId="23" r:id="rId20"/>
    <sheet name="18. Dologi kiadások cofog(K3)" sheetId="92" r:id="rId21"/>
    <sheet name="18.Dologi kiad.Igazg." sheetId="117" r:id="rId22"/>
    <sheet name="19._Ellátottak p.jutattás (K4)" sheetId="38" r:id="rId23"/>
    <sheet name="20. Pe. átad. és tám. (K5)" sheetId="39" r:id="rId24"/>
    <sheet name="21. Tartalékok (K512)" sheetId="41" r:id="rId25"/>
    <sheet name="22. Beruházás (K6)" sheetId="40" r:id="rId26"/>
    <sheet name="23. Felújítás (K7)" sheetId="88" r:id="rId27"/>
    <sheet name="24.-Több éves elköt." sheetId="18" r:id="rId28"/>
    <sheet name="25.sz.létszám" sheetId="48" r:id="rId29"/>
    <sheet name="26. ktgv.mérleg" sheetId="91" r:id="rId30"/>
    <sheet name="27.eir.felh.ütemterv" sheetId="82" r:id="rId31"/>
    <sheet name="28.sz.finansz.ütemterv" sheetId="96" r:id="rId32"/>
    <sheet name="29.sz.közvetett tám. (2)" sheetId="107" r:id="rId33"/>
    <sheet name="30.sz.adósságszolgálat" sheetId="55" r:id="rId34"/>
    <sheet name="31. gördülő" sheetId="106" r:id="rId35"/>
    <sheet name="33. EU projekt" sheetId="114" state="hidden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xlnm._FilterDatabase" localSheetId="25" hidden="1">'22. Beruházás (K6)'!$A$5:$H$37</definedName>
    <definedName name="_ftn1" localSheetId="32">'29.sz.közvetett tám. (2)'!#REF!</definedName>
    <definedName name="_ftnref1" localSheetId="32">'29.sz.közvetett tám. (2)'!$D$8</definedName>
    <definedName name="_pr232" localSheetId="27">'24.-Több éves elköt.'!#REF!</definedName>
    <definedName name="_pr233" localSheetId="27">'24.-Több éves elköt.'!#REF!</definedName>
    <definedName name="_pr234" localSheetId="27">'24.-Több éves elköt.'!#REF!</definedName>
    <definedName name="_pr235" localSheetId="27">'24.-Több éves elköt.'!#REF!</definedName>
    <definedName name="_pr236" localSheetId="27">'24.-Több éves elköt.'!$A$18</definedName>
    <definedName name="_pr312" localSheetId="27">'24.-Több éves elköt.'!#REF!</definedName>
    <definedName name="_pr313" localSheetId="27">'24.-Több éves elköt.'!$A$3</definedName>
    <definedName name="_pr314" localSheetId="27">'24.-Több éves elköt.'!#REF!</definedName>
    <definedName name="_pr315" localSheetId="27">'24.-Több éves elköt.'!$A$12</definedName>
    <definedName name="a" localSheetId="12">#REF!</definedName>
    <definedName name="a" localSheetId="14">#REF!</definedName>
    <definedName name="a" localSheetId="15">#REF!</definedName>
    <definedName name="a" localSheetId="16">#REF!</definedName>
    <definedName name="a" localSheetId="3">#REF!</definedName>
    <definedName name="a" localSheetId="4">#REF!</definedName>
    <definedName name="a" localSheetId="29">#REF!</definedName>
    <definedName name="a" localSheetId="31">#REF!</definedName>
    <definedName name="a" localSheetId="32">#REF!</definedName>
    <definedName name="a" localSheetId="5">#REF!</definedName>
    <definedName name="a" localSheetId="3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>#REF!</definedName>
    <definedName name="á" localSheetId="12">#REF!</definedName>
    <definedName name="á" localSheetId="14">#REF!</definedName>
    <definedName name="á" localSheetId="15">#REF!</definedName>
    <definedName name="á" localSheetId="16">#REF!</definedName>
    <definedName name="á" localSheetId="3">#REF!</definedName>
    <definedName name="á" localSheetId="4">#REF!</definedName>
    <definedName name="á" localSheetId="29">#REF!</definedName>
    <definedName name="á" localSheetId="31">#REF!</definedName>
    <definedName name="á" localSheetId="32">#REF!</definedName>
    <definedName name="á" localSheetId="5">#REF!</definedName>
    <definedName name="á" localSheetId="35">#REF!</definedName>
    <definedName name="á" localSheetId="6">#REF!</definedName>
    <definedName name="á" localSheetId="7">#REF!</definedName>
    <definedName name="á" localSheetId="8">#REF!</definedName>
    <definedName name="á" localSheetId="9">#REF!</definedName>
    <definedName name="á" localSheetId="10">#REF!</definedName>
    <definedName name="á" localSheetId="11">#REF!</definedName>
    <definedName name="á">#REF!</definedName>
    <definedName name="aa" localSheetId="12">#REF!</definedName>
    <definedName name="aa" localSheetId="14">#REF!</definedName>
    <definedName name="aa" localSheetId="15">#REF!</definedName>
    <definedName name="aa" localSheetId="16">#REF!</definedName>
    <definedName name="aa" localSheetId="3">#REF!</definedName>
    <definedName name="aa" localSheetId="4">#REF!</definedName>
    <definedName name="aa" localSheetId="29">#REF!</definedName>
    <definedName name="aa" localSheetId="31">#REF!</definedName>
    <definedName name="aa" localSheetId="32">#REF!</definedName>
    <definedName name="aa" localSheetId="5">#REF!</definedName>
    <definedName name="aa" localSheetId="3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>#REF!</definedName>
    <definedName name="áá" localSheetId="12">#REF!</definedName>
    <definedName name="áá" localSheetId="14">#REF!</definedName>
    <definedName name="áá" localSheetId="15">#REF!</definedName>
    <definedName name="áá" localSheetId="16">#REF!</definedName>
    <definedName name="áá" localSheetId="3">#REF!</definedName>
    <definedName name="áá" localSheetId="4">#REF!</definedName>
    <definedName name="áá" localSheetId="29">#REF!</definedName>
    <definedName name="áá" localSheetId="31">#REF!</definedName>
    <definedName name="áá" localSheetId="32">#REF!</definedName>
    <definedName name="áá" localSheetId="5">#REF!</definedName>
    <definedName name="áá" localSheetId="35">#REF!</definedName>
    <definedName name="áá" localSheetId="6">#REF!</definedName>
    <definedName name="áá" localSheetId="7">#REF!</definedName>
    <definedName name="áá" localSheetId="8">#REF!</definedName>
    <definedName name="áá" localSheetId="9">#REF!</definedName>
    <definedName name="áá" localSheetId="10">#REF!</definedName>
    <definedName name="áá" localSheetId="11">#REF!</definedName>
    <definedName name="áá">#REF!</definedName>
    <definedName name="aaa" localSheetId="12">#REF!</definedName>
    <definedName name="aaa" localSheetId="14">#REF!</definedName>
    <definedName name="aaa" localSheetId="15">#REF!</definedName>
    <definedName name="aaa" localSheetId="16">#REF!</definedName>
    <definedName name="aaa" localSheetId="3">#REF!</definedName>
    <definedName name="aaa" localSheetId="4">#REF!</definedName>
    <definedName name="aaa" localSheetId="29">#REF!</definedName>
    <definedName name="aaa" localSheetId="31">#REF!</definedName>
    <definedName name="aaa" localSheetId="32">#REF!</definedName>
    <definedName name="aaa" localSheetId="5">#REF!</definedName>
    <definedName name="aaa" localSheetId="3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>#REF!</definedName>
    <definedName name="ááá" localSheetId="12">#REF!</definedName>
    <definedName name="ááá" localSheetId="14">#REF!</definedName>
    <definedName name="ááá" localSheetId="15">#REF!</definedName>
    <definedName name="ááá" localSheetId="16">#REF!</definedName>
    <definedName name="ááá" localSheetId="3">#REF!</definedName>
    <definedName name="ááá" localSheetId="4">#REF!</definedName>
    <definedName name="ááá" localSheetId="29">#REF!</definedName>
    <definedName name="ááá" localSheetId="31">#REF!</definedName>
    <definedName name="ááá" localSheetId="32">#REF!</definedName>
    <definedName name="ááá" localSheetId="5">#REF!</definedName>
    <definedName name="ááá" localSheetId="35">#REF!</definedName>
    <definedName name="ááá" localSheetId="6">#REF!</definedName>
    <definedName name="ááá" localSheetId="7">#REF!</definedName>
    <definedName name="ááá" localSheetId="8">#REF!</definedName>
    <definedName name="ááá" localSheetId="9">#REF!</definedName>
    <definedName name="ááá" localSheetId="10">#REF!</definedName>
    <definedName name="ááá" localSheetId="11">#REF!</definedName>
    <definedName name="ááá">#REF!</definedName>
    <definedName name="aaaa" localSheetId="12">#REF!</definedName>
    <definedName name="aaaa" localSheetId="14">#REF!</definedName>
    <definedName name="aaaa" localSheetId="15">#REF!</definedName>
    <definedName name="aaaa" localSheetId="16">#REF!</definedName>
    <definedName name="aaaa" localSheetId="3">#REF!</definedName>
    <definedName name="aaaa" localSheetId="4">#REF!</definedName>
    <definedName name="aaaa" localSheetId="29">#REF!</definedName>
    <definedName name="aaaa" localSheetId="31">#REF!</definedName>
    <definedName name="aaaa" localSheetId="32">#REF!</definedName>
    <definedName name="aaaa" localSheetId="5">#REF!</definedName>
    <definedName name="aaaa" localSheetId="35">#REF!</definedName>
    <definedName name="aaaa" localSheetId="6">#REF!</definedName>
    <definedName name="aaaa" localSheetId="7">#REF!</definedName>
    <definedName name="aaaa" localSheetId="8">#REF!</definedName>
    <definedName name="aaaa" localSheetId="9">#REF!</definedName>
    <definedName name="aaaa" localSheetId="10">#REF!</definedName>
    <definedName name="aaaa" localSheetId="11">#REF!</definedName>
    <definedName name="aaaa">#REF!</definedName>
    <definedName name="áááá" localSheetId="12">#REF!</definedName>
    <definedName name="áááá" localSheetId="14">#REF!</definedName>
    <definedName name="áááá" localSheetId="15">#REF!</definedName>
    <definedName name="áááá" localSheetId="16">#REF!</definedName>
    <definedName name="áááá" localSheetId="3">#REF!</definedName>
    <definedName name="áááá" localSheetId="4">#REF!</definedName>
    <definedName name="áááá" localSheetId="29">#REF!</definedName>
    <definedName name="áááá" localSheetId="31">#REF!</definedName>
    <definedName name="áááá" localSheetId="32">#REF!</definedName>
    <definedName name="áááá" localSheetId="5">#REF!</definedName>
    <definedName name="áááá" localSheetId="35">#REF!</definedName>
    <definedName name="áááá" localSheetId="6">#REF!</definedName>
    <definedName name="áááá" localSheetId="7">#REF!</definedName>
    <definedName name="áááá" localSheetId="8">#REF!</definedName>
    <definedName name="áááá" localSheetId="9">#REF!</definedName>
    <definedName name="áááá" localSheetId="10">#REF!</definedName>
    <definedName name="áááá" localSheetId="11">#REF!</definedName>
    <definedName name="áááá">#REF!</definedName>
    <definedName name="aaaaa" localSheetId="12">#REF!</definedName>
    <definedName name="aaaaa" localSheetId="14">#REF!</definedName>
    <definedName name="aaaaa" localSheetId="15">#REF!</definedName>
    <definedName name="aaaaa" localSheetId="16">#REF!</definedName>
    <definedName name="aaaaa" localSheetId="3">#REF!</definedName>
    <definedName name="aaaaa" localSheetId="4">#REF!</definedName>
    <definedName name="aaaaa" localSheetId="29">#REF!</definedName>
    <definedName name="aaaaa" localSheetId="31">#REF!</definedName>
    <definedName name="aaaaa" localSheetId="32">#REF!</definedName>
    <definedName name="aaaaa" localSheetId="5">#REF!</definedName>
    <definedName name="aaaaa" localSheetId="35">#REF!</definedName>
    <definedName name="aaaaa" localSheetId="6">#REF!</definedName>
    <definedName name="aaaaa" localSheetId="7">#REF!</definedName>
    <definedName name="aaaaa" localSheetId="8">#REF!</definedName>
    <definedName name="aaaaa" localSheetId="9">#REF!</definedName>
    <definedName name="aaaaa" localSheetId="10">#REF!</definedName>
    <definedName name="aaaaa" localSheetId="11">#REF!</definedName>
    <definedName name="aaaaa">#REF!</definedName>
    <definedName name="ááááá" localSheetId="12">#REF!</definedName>
    <definedName name="ááááá" localSheetId="14">#REF!</definedName>
    <definedName name="ááááá" localSheetId="15">#REF!</definedName>
    <definedName name="ááááá" localSheetId="16">#REF!</definedName>
    <definedName name="ááááá" localSheetId="3">#REF!</definedName>
    <definedName name="ááááá" localSheetId="4">#REF!</definedName>
    <definedName name="ááááá" localSheetId="29">#REF!</definedName>
    <definedName name="ááááá" localSheetId="31">#REF!</definedName>
    <definedName name="ááááá" localSheetId="32">#REF!</definedName>
    <definedName name="ááááá" localSheetId="5">#REF!</definedName>
    <definedName name="ááááá" localSheetId="35">#REF!</definedName>
    <definedName name="ááááá" localSheetId="6">#REF!</definedName>
    <definedName name="ááááá" localSheetId="7">#REF!</definedName>
    <definedName name="ááááá" localSheetId="8">#REF!</definedName>
    <definedName name="ááááá" localSheetId="9">#REF!</definedName>
    <definedName name="ááááá" localSheetId="10">#REF!</definedName>
    <definedName name="ááááá" localSheetId="11">#REF!</definedName>
    <definedName name="ááááá">#REF!</definedName>
    <definedName name="aaaaaa" localSheetId="12">#REF!</definedName>
    <definedName name="aaaaaa" localSheetId="14">#REF!</definedName>
    <definedName name="aaaaaa" localSheetId="15">#REF!</definedName>
    <definedName name="aaaaaa" localSheetId="16">#REF!</definedName>
    <definedName name="aaaaaa" localSheetId="3">#REF!</definedName>
    <definedName name="aaaaaa" localSheetId="4">#REF!</definedName>
    <definedName name="aaaaaa" localSheetId="29">#REF!</definedName>
    <definedName name="aaaaaa" localSheetId="31">#REF!</definedName>
    <definedName name="aaaaaa" localSheetId="32">#REF!</definedName>
    <definedName name="aaaaaa" localSheetId="5">#REF!</definedName>
    <definedName name="aaaaaa" localSheetId="35">#REF!</definedName>
    <definedName name="aaaaaa" localSheetId="6">#REF!</definedName>
    <definedName name="aaaaaa" localSheetId="7">#REF!</definedName>
    <definedName name="aaaaaa" localSheetId="8">#REF!</definedName>
    <definedName name="aaaaaa" localSheetId="9">#REF!</definedName>
    <definedName name="aaaaaa" localSheetId="10">#REF!</definedName>
    <definedName name="aaaaaa" localSheetId="11">#REF!</definedName>
    <definedName name="aaaaaa">#REF!</definedName>
    <definedName name="áááááá" localSheetId="12">#REF!</definedName>
    <definedName name="áááááá" localSheetId="14">#REF!</definedName>
    <definedName name="áááááá" localSheetId="15">#REF!</definedName>
    <definedName name="áááááá" localSheetId="16">#REF!</definedName>
    <definedName name="áááááá" localSheetId="3">#REF!</definedName>
    <definedName name="áááááá" localSheetId="4">#REF!</definedName>
    <definedName name="áááááá" localSheetId="29">#REF!</definedName>
    <definedName name="áááááá" localSheetId="31">#REF!</definedName>
    <definedName name="áááááá" localSheetId="32">#REF!</definedName>
    <definedName name="áááááá" localSheetId="5">#REF!</definedName>
    <definedName name="áááááá" localSheetId="35">#REF!</definedName>
    <definedName name="áááááá" localSheetId="6">#REF!</definedName>
    <definedName name="áááááá" localSheetId="7">#REF!</definedName>
    <definedName name="áááááá" localSheetId="8">#REF!</definedName>
    <definedName name="áááááá" localSheetId="9">#REF!</definedName>
    <definedName name="áááááá" localSheetId="10">#REF!</definedName>
    <definedName name="áááááá" localSheetId="11">#REF!</definedName>
    <definedName name="áááááá">#REF!</definedName>
    <definedName name="aaaaaaaa" localSheetId="12">#REF!</definedName>
    <definedName name="aaaaaaaa" localSheetId="14">#REF!</definedName>
    <definedName name="aaaaaaaa" localSheetId="15">#REF!</definedName>
    <definedName name="aaaaaaaa" localSheetId="16">#REF!</definedName>
    <definedName name="aaaaaaaa" localSheetId="3">#REF!</definedName>
    <definedName name="aaaaaaaa" localSheetId="4">#REF!</definedName>
    <definedName name="aaaaaaaa" localSheetId="29">#REF!</definedName>
    <definedName name="aaaaaaaa" localSheetId="31">#REF!</definedName>
    <definedName name="aaaaaaaa" localSheetId="32">#REF!</definedName>
    <definedName name="aaaaaaaa" localSheetId="5">#REF!</definedName>
    <definedName name="aaaaaaaa" localSheetId="35">#REF!</definedName>
    <definedName name="aaaaaaaa" localSheetId="6">#REF!</definedName>
    <definedName name="aaaaaaaa" localSheetId="7">#REF!</definedName>
    <definedName name="aaaaaaaa" localSheetId="8">#REF!</definedName>
    <definedName name="aaaaaaaa" localSheetId="9">#REF!</definedName>
    <definedName name="aaaaaaaa" localSheetId="10">#REF!</definedName>
    <definedName name="aaaaaaaa" localSheetId="11">#REF!</definedName>
    <definedName name="aaaaaaaa">#REF!</definedName>
    <definedName name="áááááááá" localSheetId="12">#REF!</definedName>
    <definedName name="áááááááá" localSheetId="14">#REF!</definedName>
    <definedName name="áááááááá" localSheetId="15">#REF!</definedName>
    <definedName name="áááááááá" localSheetId="16">#REF!</definedName>
    <definedName name="áááááááá" localSheetId="3">#REF!</definedName>
    <definedName name="áááááááá" localSheetId="4">#REF!</definedName>
    <definedName name="áááááááá" localSheetId="29">#REF!</definedName>
    <definedName name="áááááááá" localSheetId="31">#REF!</definedName>
    <definedName name="áááááááá" localSheetId="32">#REF!</definedName>
    <definedName name="áááááááá" localSheetId="5">#REF!</definedName>
    <definedName name="áááááááá" localSheetId="35">#REF!</definedName>
    <definedName name="áááááááá" localSheetId="6">#REF!</definedName>
    <definedName name="áááááááá" localSheetId="7">#REF!</definedName>
    <definedName name="áááááááá" localSheetId="8">#REF!</definedName>
    <definedName name="áááááááá" localSheetId="9">#REF!</definedName>
    <definedName name="áááááááá" localSheetId="10">#REF!</definedName>
    <definedName name="áááááááá" localSheetId="11">#REF!</definedName>
    <definedName name="áááááááá">#REF!</definedName>
    <definedName name="aaaaaaaaa" localSheetId="12">#REF!</definedName>
    <definedName name="aaaaaaaaa" localSheetId="14">#REF!</definedName>
    <definedName name="aaaaaaaaa" localSheetId="15">#REF!</definedName>
    <definedName name="aaaaaaaaa" localSheetId="16">#REF!</definedName>
    <definedName name="aaaaaaaaa" localSheetId="3">#REF!</definedName>
    <definedName name="aaaaaaaaa" localSheetId="4">#REF!</definedName>
    <definedName name="aaaaaaaaa" localSheetId="29">#REF!</definedName>
    <definedName name="aaaaaaaaa" localSheetId="31">#REF!</definedName>
    <definedName name="aaaaaaaaa" localSheetId="32">#REF!</definedName>
    <definedName name="aaaaaaaaa" localSheetId="5">#REF!</definedName>
    <definedName name="aaaaaaaaa" localSheetId="35">#REF!</definedName>
    <definedName name="aaaaaaaaa" localSheetId="6">#REF!</definedName>
    <definedName name="aaaaaaaaa" localSheetId="7">#REF!</definedName>
    <definedName name="aaaaaaaaa" localSheetId="8">#REF!</definedName>
    <definedName name="aaaaaaaaa" localSheetId="9">#REF!</definedName>
    <definedName name="aaaaaaaaa" localSheetId="10">#REF!</definedName>
    <definedName name="aaaaaaaaa" localSheetId="11">#REF!</definedName>
    <definedName name="aaaaaaaaa">#REF!</definedName>
    <definedName name="ááááááááá" localSheetId="12">#REF!</definedName>
    <definedName name="ááááááááá" localSheetId="14">#REF!</definedName>
    <definedName name="ááááááááá" localSheetId="15">#REF!</definedName>
    <definedName name="ááááááááá" localSheetId="16">#REF!</definedName>
    <definedName name="ááááááááá" localSheetId="3">#REF!</definedName>
    <definedName name="ááááááááá" localSheetId="4">#REF!</definedName>
    <definedName name="ááááááááá" localSheetId="29">#REF!</definedName>
    <definedName name="ááááááááá" localSheetId="31">#REF!</definedName>
    <definedName name="ááááááááá" localSheetId="32">#REF!</definedName>
    <definedName name="ááááááááá" localSheetId="5">#REF!</definedName>
    <definedName name="ááááááááá" localSheetId="35">#REF!</definedName>
    <definedName name="ááááááááá" localSheetId="6">#REF!</definedName>
    <definedName name="ááááááááá" localSheetId="7">#REF!</definedName>
    <definedName name="ááááááááá" localSheetId="8">#REF!</definedName>
    <definedName name="ááááááááá" localSheetId="9">#REF!</definedName>
    <definedName name="ááááááááá" localSheetId="10">#REF!</definedName>
    <definedName name="ááááááááá" localSheetId="11">#REF!</definedName>
    <definedName name="ááááááááá">#REF!</definedName>
    <definedName name="aaaaaaaaaaa" localSheetId="12">#REF!</definedName>
    <definedName name="aaaaaaaaaaa" localSheetId="14">#REF!</definedName>
    <definedName name="aaaaaaaaaaa" localSheetId="15">#REF!</definedName>
    <definedName name="aaaaaaaaaaa" localSheetId="16">#REF!</definedName>
    <definedName name="aaaaaaaaaaa" localSheetId="3">#REF!</definedName>
    <definedName name="aaaaaaaaaaa" localSheetId="4">#REF!</definedName>
    <definedName name="aaaaaaaaaaa" localSheetId="29">#REF!</definedName>
    <definedName name="aaaaaaaaaaa" localSheetId="31">#REF!</definedName>
    <definedName name="aaaaaaaaaaa" localSheetId="32">#REF!</definedName>
    <definedName name="aaaaaaaaaaa" localSheetId="5">#REF!</definedName>
    <definedName name="aaaaaaaaaaa" localSheetId="35">#REF!</definedName>
    <definedName name="aaaaaaaaaaa" localSheetId="6">#REF!</definedName>
    <definedName name="aaaaaaaaaaa" localSheetId="7">#REF!</definedName>
    <definedName name="aaaaaaaaaaa" localSheetId="8">#REF!</definedName>
    <definedName name="aaaaaaaaaaa" localSheetId="9">#REF!</definedName>
    <definedName name="aaaaaaaaaaa" localSheetId="10">#REF!</definedName>
    <definedName name="aaaaaaaaaaa" localSheetId="11">#REF!</definedName>
    <definedName name="aaaaaaaaaaa">#REF!</definedName>
    <definedName name="ááááááááááá" localSheetId="12">#REF!</definedName>
    <definedName name="ááááááááááá" localSheetId="14">#REF!</definedName>
    <definedName name="ááááááááááá" localSheetId="15">#REF!</definedName>
    <definedName name="ááááááááááá" localSheetId="16">#REF!</definedName>
    <definedName name="ááááááááááá" localSheetId="3">#REF!</definedName>
    <definedName name="ááááááááááá" localSheetId="4">#REF!</definedName>
    <definedName name="ááááááááááá" localSheetId="29">#REF!</definedName>
    <definedName name="ááááááááááá" localSheetId="31">#REF!</definedName>
    <definedName name="ááááááááááá" localSheetId="32">#REF!</definedName>
    <definedName name="ááááááááááá" localSheetId="5">#REF!</definedName>
    <definedName name="ááááááááááá" localSheetId="35">#REF!</definedName>
    <definedName name="ááááááááááá" localSheetId="6">#REF!</definedName>
    <definedName name="ááááááááááá" localSheetId="7">#REF!</definedName>
    <definedName name="ááááááááááá" localSheetId="8">#REF!</definedName>
    <definedName name="ááááááááááá" localSheetId="9">#REF!</definedName>
    <definedName name="ááááááááááá" localSheetId="10">#REF!</definedName>
    <definedName name="ááááááááááá" localSheetId="11">#REF!</definedName>
    <definedName name="ááááááááááá">#REF!</definedName>
    <definedName name="ááááááááááááááá" localSheetId="12">#REF!</definedName>
    <definedName name="ááááááááááááááá" localSheetId="14">#REF!</definedName>
    <definedName name="ááááááááááááááá" localSheetId="15">#REF!</definedName>
    <definedName name="ááááááááááááááá" localSheetId="16">#REF!</definedName>
    <definedName name="ááááááááááááááá" localSheetId="3">#REF!</definedName>
    <definedName name="ááááááááááááááá" localSheetId="4">#REF!</definedName>
    <definedName name="ááááááááááááááá" localSheetId="29">#REF!</definedName>
    <definedName name="ááááááááááááááá" localSheetId="31">#REF!</definedName>
    <definedName name="ááááááááááááááá" localSheetId="32">#REF!</definedName>
    <definedName name="ááááááááááááááá" localSheetId="5">#REF!</definedName>
    <definedName name="ááááááááááááááá" localSheetId="35">#REF!</definedName>
    <definedName name="ááááááááááááááá" localSheetId="6">#REF!</definedName>
    <definedName name="ááááááááááááááá" localSheetId="7">#REF!</definedName>
    <definedName name="ááááááááááááááá" localSheetId="8">#REF!</definedName>
    <definedName name="ááááááááááááááá" localSheetId="9">#REF!</definedName>
    <definedName name="ááááááááááááááá" localSheetId="10">#REF!</definedName>
    <definedName name="ááááááááááááááá" localSheetId="11">#REF!</definedName>
    <definedName name="ááááááááááááááá">#REF!</definedName>
    <definedName name="áááááááááááááááááá" localSheetId="12">#REF!</definedName>
    <definedName name="áááááááááááááááááá" localSheetId="14">#REF!</definedName>
    <definedName name="áááááááááááááááááá" localSheetId="15">#REF!</definedName>
    <definedName name="áááááááááááááááááá" localSheetId="16">#REF!</definedName>
    <definedName name="áááááááááááááááááá" localSheetId="3">#REF!</definedName>
    <definedName name="áááááááááááááááááá" localSheetId="4">#REF!</definedName>
    <definedName name="áááááááááááááááááá" localSheetId="29">#REF!</definedName>
    <definedName name="áááááááááááááááááá" localSheetId="31">#REF!</definedName>
    <definedName name="áááááááááááááááááá" localSheetId="32">#REF!</definedName>
    <definedName name="áááááááááááááááááá" localSheetId="5">#REF!</definedName>
    <definedName name="áááááááááááááááááá" localSheetId="35">#REF!</definedName>
    <definedName name="áááááááááááááááááá" localSheetId="6">#REF!</definedName>
    <definedName name="áááááááááááááááááá" localSheetId="7">#REF!</definedName>
    <definedName name="áááááááááááááááááá" localSheetId="8">#REF!</definedName>
    <definedName name="áááááááááááááááááá" localSheetId="9">#REF!</definedName>
    <definedName name="áááááááááááááááááá" localSheetId="10">#REF!</definedName>
    <definedName name="áááááááááááááááááá" localSheetId="11">#REF!</definedName>
    <definedName name="áááááááááááááááááá">#REF!</definedName>
    <definedName name="aaaaaaaaaaaaaaaaaaa" localSheetId="12">#REF!</definedName>
    <definedName name="aaaaaaaaaaaaaaaaaaa" localSheetId="14">#REF!</definedName>
    <definedName name="aaaaaaaaaaaaaaaaaaa" localSheetId="15">#REF!</definedName>
    <definedName name="aaaaaaaaaaaaaaaaaaa" localSheetId="16">#REF!</definedName>
    <definedName name="aaaaaaaaaaaaaaaaaaa" localSheetId="3">#REF!</definedName>
    <definedName name="aaaaaaaaaaaaaaaaaaa" localSheetId="4">#REF!</definedName>
    <definedName name="aaaaaaaaaaaaaaaaaaa" localSheetId="29">#REF!</definedName>
    <definedName name="aaaaaaaaaaaaaaaaaaa" localSheetId="31">#REF!</definedName>
    <definedName name="aaaaaaaaaaaaaaaaaaa" localSheetId="32">#REF!</definedName>
    <definedName name="aaaaaaaaaaaaaaaaaaa" localSheetId="5">#REF!</definedName>
    <definedName name="aaaaaaaaaaaaaaaaaaa" localSheetId="35">#REF!</definedName>
    <definedName name="aaaaaaaaaaaaaaaaaaa" localSheetId="6">#REF!</definedName>
    <definedName name="aaaaaaaaaaaaaaaaaaa" localSheetId="7">#REF!</definedName>
    <definedName name="aaaaaaaaaaaaaaaaaaa" localSheetId="8">#REF!</definedName>
    <definedName name="aaaaaaaaaaaaaaaaaaa" localSheetId="9">#REF!</definedName>
    <definedName name="aaaaaaaaaaaaaaaaaaa" localSheetId="10">#REF!</definedName>
    <definedName name="aaaaaaaaaaaaaaaaaaa" localSheetId="11">#REF!</definedName>
    <definedName name="aaaaaaaaaaaaaaaaaaa">#REF!</definedName>
    <definedName name="ááááááááááááááááááááááááááá" localSheetId="12">#REF!</definedName>
    <definedName name="ááááááááááááááááááááááááááá" localSheetId="14">#REF!</definedName>
    <definedName name="ááááááááááááááááááááááááááá" localSheetId="15">#REF!</definedName>
    <definedName name="ááááááááááááááááááááááááááá" localSheetId="16">#REF!</definedName>
    <definedName name="ááááááááááááááááááááááááááá" localSheetId="3">#REF!</definedName>
    <definedName name="ááááááááááááááááááááááááááá" localSheetId="4">#REF!</definedName>
    <definedName name="ááááááááááááááááááááááááááá" localSheetId="29">#REF!</definedName>
    <definedName name="ááááááááááááááááááááááááááá" localSheetId="31">#REF!</definedName>
    <definedName name="ááááááááááááááááááááááááááá" localSheetId="32">#REF!</definedName>
    <definedName name="ááááááááááááááááááááááááááá" localSheetId="5">#REF!</definedName>
    <definedName name="ááááááááááááááááááááááááááá" localSheetId="35">#REF!</definedName>
    <definedName name="ááááááááááááááááááááááááááá" localSheetId="6">#REF!</definedName>
    <definedName name="ááááááááááááááááááááááááááá" localSheetId="7">#REF!</definedName>
    <definedName name="ááááááááááááááááááááááááááá" localSheetId="8">#REF!</definedName>
    <definedName name="ááááááááááááááááááááááááááá" localSheetId="9">#REF!</definedName>
    <definedName name="ááááááááááááááááááááááááááá" localSheetId="10">#REF!</definedName>
    <definedName name="ááááááááááááááááááááááááááá" localSheetId="11">#REF!</definedName>
    <definedName name="ááááááááááááááááááááááááááá">#REF!</definedName>
    <definedName name="Áll.norm." localSheetId="12">#REF!</definedName>
    <definedName name="Áll.norm." localSheetId="14">#REF!</definedName>
    <definedName name="Áll.norm." localSheetId="15">#REF!</definedName>
    <definedName name="Áll.norm." localSheetId="16">#REF!</definedName>
    <definedName name="Áll.norm." localSheetId="3">#REF!</definedName>
    <definedName name="Áll.norm." localSheetId="4">#REF!</definedName>
    <definedName name="Áll.norm." localSheetId="28">#REF!</definedName>
    <definedName name="Áll.norm." localSheetId="29">#REF!</definedName>
    <definedName name="Áll.norm." localSheetId="30">#REF!</definedName>
    <definedName name="Áll.norm." localSheetId="31">#REF!</definedName>
    <definedName name="Áll.norm." localSheetId="32">#REF!</definedName>
    <definedName name="Áll.norm." localSheetId="5">#REF!</definedName>
    <definedName name="Áll.norm." localSheetId="33">#REF!</definedName>
    <definedName name="Áll.norm." localSheetId="35">#REF!</definedName>
    <definedName name="Áll.norm." localSheetId="6">#REF!</definedName>
    <definedName name="Áll.norm." localSheetId="7">#REF!</definedName>
    <definedName name="Áll.norm." localSheetId="8">#REF!</definedName>
    <definedName name="Áll.norm." localSheetId="9">#REF!</definedName>
    <definedName name="Áll.norm." localSheetId="10">#REF!</definedName>
    <definedName name="Áll.norm." localSheetId="11">#REF!</definedName>
    <definedName name="Áll.norm." localSheetId="1">#N/A</definedName>
    <definedName name="Áll.norm.">#REF!</definedName>
    <definedName name="Átvett" localSheetId="12">#REF!</definedName>
    <definedName name="Átvett" localSheetId="14">#REF!</definedName>
    <definedName name="Átvett" localSheetId="15">#REF!</definedName>
    <definedName name="Átvett" localSheetId="16">#REF!</definedName>
    <definedName name="Átvett" localSheetId="3">#REF!</definedName>
    <definedName name="Átvett" localSheetId="4">#REF!</definedName>
    <definedName name="Átvett" localSheetId="28">#REF!</definedName>
    <definedName name="Átvett" localSheetId="29">#REF!</definedName>
    <definedName name="Átvett" localSheetId="30">#REF!</definedName>
    <definedName name="Átvett" localSheetId="31">#REF!</definedName>
    <definedName name="Átvett" localSheetId="32">#REF!</definedName>
    <definedName name="Átvett" localSheetId="5">#REF!</definedName>
    <definedName name="Átvett" localSheetId="33">#REF!</definedName>
    <definedName name="Átvett" localSheetId="35">#REF!</definedName>
    <definedName name="Átvett" localSheetId="6">#REF!</definedName>
    <definedName name="Átvett" localSheetId="7">#REF!</definedName>
    <definedName name="Átvett" localSheetId="8">#REF!</definedName>
    <definedName name="Átvett" localSheetId="9">#REF!</definedName>
    <definedName name="Átvett" localSheetId="10">#REF!</definedName>
    <definedName name="Átvett" localSheetId="11">#REF!</definedName>
    <definedName name="Átvett" localSheetId="1">#N/A</definedName>
    <definedName name="Átvett">#REF!</definedName>
    <definedName name="Bemutatás" localSheetId="12">#REF!</definedName>
    <definedName name="Bemutatás" localSheetId="14">#REF!</definedName>
    <definedName name="Bemutatás" localSheetId="15">#REF!</definedName>
    <definedName name="Bemutatás" localSheetId="16">#REF!</definedName>
    <definedName name="Bemutatás" localSheetId="3">#REF!</definedName>
    <definedName name="Bemutatás" localSheetId="4">#REF!</definedName>
    <definedName name="Bemutatás" localSheetId="28">#REF!</definedName>
    <definedName name="Bemutatás" localSheetId="29">#REF!</definedName>
    <definedName name="Bemutatás" localSheetId="30">#REF!</definedName>
    <definedName name="Bemutatás" localSheetId="31">#REF!</definedName>
    <definedName name="Bemutatás" localSheetId="32">#REF!</definedName>
    <definedName name="Bemutatás" localSheetId="5">#REF!</definedName>
    <definedName name="Bemutatás" localSheetId="33">#REF!</definedName>
    <definedName name="Bemutatás" localSheetId="35">#REF!</definedName>
    <definedName name="Bemutatás" localSheetId="6">#REF!</definedName>
    <definedName name="Bemutatás" localSheetId="7">#REF!</definedName>
    <definedName name="Bemutatás" localSheetId="8">#REF!</definedName>
    <definedName name="Bemutatás" localSheetId="9">#REF!</definedName>
    <definedName name="Bemutatás" localSheetId="10">#REF!</definedName>
    <definedName name="Bemutatás" localSheetId="11">#REF!</definedName>
    <definedName name="Bemutatás" localSheetId="1">#REF!</definedName>
    <definedName name="Bemutatás">#REF!</definedName>
    <definedName name="civilek" localSheetId="15">#REF!</definedName>
    <definedName name="civilek" localSheetId="16">#REF!</definedName>
    <definedName name="civilek" localSheetId="29">#REF!</definedName>
    <definedName name="civilek" localSheetId="31">#REF!</definedName>
    <definedName name="civilek" localSheetId="32">#REF!</definedName>
    <definedName name="civilek" localSheetId="35">#REF!</definedName>
    <definedName name="civilek" localSheetId="6">#REF!</definedName>
    <definedName name="civilek" localSheetId="9">#REF!</definedName>
    <definedName name="civilek" localSheetId="10">#REF!</definedName>
    <definedName name="civilek">#REF!</definedName>
    <definedName name="elk" localSheetId="15">#REF!</definedName>
    <definedName name="elk" localSheetId="16">#REF!</definedName>
    <definedName name="elk" localSheetId="29">#REF!</definedName>
    <definedName name="elk" localSheetId="31">#REF!</definedName>
    <definedName name="elk" localSheetId="32">#REF!</definedName>
    <definedName name="elk" localSheetId="35">#REF!</definedName>
    <definedName name="elk" localSheetId="6">#REF!</definedName>
    <definedName name="elk" localSheetId="9">#REF!</definedName>
    <definedName name="elk" localSheetId="10">#REF!</definedName>
    <definedName name="elk">#REF!</definedName>
    <definedName name="elköt." localSheetId="12">#REF!</definedName>
    <definedName name="elköt." localSheetId="14">#REF!</definedName>
    <definedName name="elköt." localSheetId="15">#REF!</definedName>
    <definedName name="elköt." localSheetId="16">#REF!</definedName>
    <definedName name="elköt." localSheetId="3">#REF!</definedName>
    <definedName name="elköt." localSheetId="4">#REF!</definedName>
    <definedName name="elköt." localSheetId="28">#REF!</definedName>
    <definedName name="elköt." localSheetId="29">#REF!</definedName>
    <definedName name="elköt." localSheetId="30">#REF!</definedName>
    <definedName name="elköt." localSheetId="31">#REF!</definedName>
    <definedName name="elköt." localSheetId="32">#REF!</definedName>
    <definedName name="elköt." localSheetId="5">#REF!</definedName>
    <definedName name="elköt." localSheetId="33">#REF!</definedName>
    <definedName name="elköt." localSheetId="35">#REF!</definedName>
    <definedName name="elköt." localSheetId="6">#REF!</definedName>
    <definedName name="elköt." localSheetId="7">#REF!</definedName>
    <definedName name="elköt." localSheetId="8">#REF!</definedName>
    <definedName name="elköt." localSheetId="9">#REF!</definedName>
    <definedName name="elköt." localSheetId="10">#REF!</definedName>
    <definedName name="elköt." localSheetId="11">#REF!</definedName>
    <definedName name="elköt." localSheetId="1">#REF!</definedName>
    <definedName name="elköt.">#REF!</definedName>
    <definedName name="Elkötelezettség" localSheetId="15">[1]PolgármesteriHiv_szakf__3_m__!$A$1:$E$31</definedName>
    <definedName name="Elkötelezettség" localSheetId="16">[1]PolgármesteriHiv_szakf__3_m__!$A$1:$E$31</definedName>
    <definedName name="Elkötelezettség" localSheetId="29">[1]PolgármesteriHiv_szakf__3_m__!$A$1:$E$31</definedName>
    <definedName name="Elkötelezettség" localSheetId="31">[1]PolgármesteriHiv_szakf__3_m__!$A$1:$E$31</definedName>
    <definedName name="Elkötelezettség" localSheetId="32">[1]PolgármesteriHiv_szakf__3_m__!$A$1:$E$31</definedName>
    <definedName name="Elkötelezettség" localSheetId="34">[1]PolgármesteriHiv_szakf__3_m__!$A$1:$E$31</definedName>
    <definedName name="Elkötelezettség" localSheetId="1">[1]PolgármesteriHiv_szakf__3_m__!$A$1:$E$31</definedName>
    <definedName name="Elkötelezettség">[1]PolgármesteriHiv_szakf__3_m__!$A$1:$E$31</definedName>
    <definedName name="Elkötelezettségek" localSheetId="12">#REF!</definedName>
    <definedName name="Elkötelezettségek" localSheetId="14">#REF!</definedName>
    <definedName name="Elkötelezettségek" localSheetId="15">#REF!</definedName>
    <definedName name="Elkötelezettségek" localSheetId="16">#REF!</definedName>
    <definedName name="Elkötelezettségek" localSheetId="3">#REF!</definedName>
    <definedName name="Elkötelezettségek" localSheetId="4">#REF!</definedName>
    <definedName name="Elkötelezettségek" localSheetId="28">#REF!</definedName>
    <definedName name="Elkötelezettségek" localSheetId="29">#REF!</definedName>
    <definedName name="Elkötelezettségek" localSheetId="30">#REF!</definedName>
    <definedName name="Elkötelezettségek" localSheetId="31">#REF!</definedName>
    <definedName name="Elkötelezettségek" localSheetId="32">#REF!</definedName>
    <definedName name="Elkötelezettségek" localSheetId="5">#REF!</definedName>
    <definedName name="Elkötelezettségek" localSheetId="33">#REF!</definedName>
    <definedName name="Elkötelezettségek" localSheetId="35">#REF!</definedName>
    <definedName name="Elkötelezettségek" localSheetId="6">#REF!</definedName>
    <definedName name="Elkötelezettségek" localSheetId="7">#REF!</definedName>
    <definedName name="Elkötelezettségek" localSheetId="8">#REF!</definedName>
    <definedName name="Elkötelezettségek" localSheetId="9">#REF!</definedName>
    <definedName name="Elkötelezettségek" localSheetId="10">#REF!</definedName>
    <definedName name="Elkötelezettségek" localSheetId="11">#REF!</definedName>
    <definedName name="Elkötelezettségek" localSheetId="1">#REF!</definedName>
    <definedName name="Elkötelezettségek">#REF!</definedName>
    <definedName name="Fejl.c.elköt." localSheetId="15">[2]PolgármesteriHiv_szakf__3_m__!$A$1:$E$31</definedName>
    <definedName name="Fejl.c.elköt." localSheetId="16">[2]PolgármesteriHiv_szakf__3_m__!$A$1:$E$31</definedName>
    <definedName name="Fejl.c.elköt." localSheetId="29">[2]PolgármesteriHiv_szakf__3_m__!$A$1:$E$31</definedName>
    <definedName name="Fejl.c.elköt." localSheetId="31">[2]PolgármesteriHiv_szakf__3_m__!$A$1:$E$31</definedName>
    <definedName name="Fejl.c.elköt." localSheetId="32">[2]PolgármesteriHiv_szakf__3_m__!$A$1:$E$31</definedName>
    <definedName name="Fejl.c.elköt." localSheetId="34">[2]PolgármesteriHiv_szakf__3_m__!$A$1:$E$31</definedName>
    <definedName name="Fejl.c.elköt." localSheetId="1">[2]PolgármesteriHiv_szakf__3_m__!$A$1:$E$31</definedName>
    <definedName name="Fejl.c.elköt.">[2]PolgármesteriHiv_szakf__3_m__!$A$1:$E$31</definedName>
    <definedName name="Fejl.elköt." localSheetId="12">#REF!</definedName>
    <definedName name="Fejl.elköt." localSheetId="14">#REF!</definedName>
    <definedName name="Fejl.elköt." localSheetId="15">#REF!</definedName>
    <definedName name="Fejl.elköt." localSheetId="16">#REF!</definedName>
    <definedName name="Fejl.elköt." localSheetId="3">#REF!</definedName>
    <definedName name="Fejl.elköt." localSheetId="4">#REF!</definedName>
    <definedName name="Fejl.elköt." localSheetId="28">#REF!</definedName>
    <definedName name="Fejl.elköt." localSheetId="29">#REF!</definedName>
    <definedName name="Fejl.elköt." localSheetId="30">#REF!</definedName>
    <definedName name="Fejl.elköt." localSheetId="31">#REF!</definedName>
    <definedName name="Fejl.elköt." localSheetId="32">#REF!</definedName>
    <definedName name="Fejl.elköt." localSheetId="5">#REF!</definedName>
    <definedName name="Fejl.elköt." localSheetId="33">#REF!</definedName>
    <definedName name="Fejl.elköt." localSheetId="35">#REF!</definedName>
    <definedName name="Fejl.elköt." localSheetId="6">#REF!</definedName>
    <definedName name="Fejl.elköt." localSheetId="7">#REF!</definedName>
    <definedName name="Fejl.elköt." localSheetId="8">#REF!</definedName>
    <definedName name="Fejl.elköt." localSheetId="9">#REF!</definedName>
    <definedName name="Fejl.elköt." localSheetId="10">#REF!</definedName>
    <definedName name="Fejl.elköt." localSheetId="11">#REF!</definedName>
    <definedName name="Fejl.elköt." localSheetId="1">#N/A</definedName>
    <definedName name="Fejl.elköt.">#REF!</definedName>
    <definedName name="fejlesztés" localSheetId="15">#REF!</definedName>
    <definedName name="fejlesztés" localSheetId="16">#REF!</definedName>
    <definedName name="fejlesztés" localSheetId="29">#REF!</definedName>
    <definedName name="fejlesztés" localSheetId="31">#REF!</definedName>
    <definedName name="fejlesztés" localSheetId="32">#REF!</definedName>
    <definedName name="fejlesztés" localSheetId="35">#REF!</definedName>
    <definedName name="fejlesztés" localSheetId="6">#REF!</definedName>
    <definedName name="fejlesztés" localSheetId="9">#REF!</definedName>
    <definedName name="fejlesztés" localSheetId="10">#REF!</definedName>
    <definedName name="fejlesztés">#REF!</definedName>
    <definedName name="Felhaszn.hitel" localSheetId="12">#REF!</definedName>
    <definedName name="Felhaszn.hitel" localSheetId="14">#REF!</definedName>
    <definedName name="Felhaszn.hitel" localSheetId="15">#REF!</definedName>
    <definedName name="Felhaszn.hitel" localSheetId="16">#REF!</definedName>
    <definedName name="Felhaszn.hitel" localSheetId="3">#REF!</definedName>
    <definedName name="Felhaszn.hitel" localSheetId="4">#REF!</definedName>
    <definedName name="Felhaszn.hitel" localSheetId="28">#REF!</definedName>
    <definedName name="Felhaszn.hitel" localSheetId="29">#REF!</definedName>
    <definedName name="Felhaszn.hitel" localSheetId="30">#REF!</definedName>
    <definedName name="Felhaszn.hitel" localSheetId="31">#REF!</definedName>
    <definedName name="Felhaszn.hitel" localSheetId="32">#REF!</definedName>
    <definedName name="Felhaszn.hitel" localSheetId="5">#REF!</definedName>
    <definedName name="Felhaszn.hitel" localSheetId="33">#REF!</definedName>
    <definedName name="Felhaszn.hitel" localSheetId="35">#REF!</definedName>
    <definedName name="Felhaszn.hitel" localSheetId="6">#REF!</definedName>
    <definedName name="Felhaszn.hitel" localSheetId="7">#REF!</definedName>
    <definedName name="Felhaszn.hitel" localSheetId="8">#REF!</definedName>
    <definedName name="Felhaszn.hitel" localSheetId="9">#REF!</definedName>
    <definedName name="Felhaszn.hitel" localSheetId="10">#REF!</definedName>
    <definedName name="Felhaszn.hitel" localSheetId="11">#REF!</definedName>
    <definedName name="Felhaszn.hitel" localSheetId="1">#N/A</definedName>
    <definedName name="Felhaszn.hitel">#REF!</definedName>
    <definedName name="felveendő" localSheetId="12">#REF!</definedName>
    <definedName name="felveendő" localSheetId="14">#REF!</definedName>
    <definedName name="felveendő" localSheetId="15">#REF!</definedName>
    <definedName name="felveendő" localSheetId="16">#REF!</definedName>
    <definedName name="felveendő" localSheetId="3">#REF!</definedName>
    <definedName name="felveendő" localSheetId="4">#REF!</definedName>
    <definedName name="felveendő" localSheetId="28">#REF!</definedName>
    <definedName name="felveendő" localSheetId="29">#REF!</definedName>
    <definedName name="felveendő" localSheetId="30">#REF!</definedName>
    <definedName name="felveendő" localSheetId="31">#REF!</definedName>
    <definedName name="felveendő" localSheetId="32">#REF!</definedName>
    <definedName name="felveendő" localSheetId="5">#REF!</definedName>
    <definedName name="felveendő" localSheetId="33">#REF!</definedName>
    <definedName name="felveendő" localSheetId="35">#REF!</definedName>
    <definedName name="felveendő" localSheetId="6">#REF!</definedName>
    <definedName name="felveendő" localSheetId="7">#REF!</definedName>
    <definedName name="felveendő" localSheetId="8">#REF!</definedName>
    <definedName name="felveendő" localSheetId="9">#REF!</definedName>
    <definedName name="felveendő" localSheetId="10">#REF!</definedName>
    <definedName name="felveendő" localSheetId="11">#REF!</definedName>
    <definedName name="felveendő" localSheetId="1">#REF!</definedName>
    <definedName name="felveendő">#REF!</definedName>
    <definedName name="Geszbevételek_új" localSheetId="12">#REF!</definedName>
    <definedName name="Geszbevételek_új" localSheetId="15">#REF!</definedName>
    <definedName name="Geszbevételek_új" localSheetId="16">#REF!</definedName>
    <definedName name="Geszbevételek_új" localSheetId="4">#REF!</definedName>
    <definedName name="Geszbevételek_új" localSheetId="29">#REF!</definedName>
    <definedName name="Geszbevételek_új" localSheetId="31">#REF!</definedName>
    <definedName name="Geszbevételek_új" localSheetId="32">#REF!</definedName>
    <definedName name="Geszbevételek_új" localSheetId="5">#REF!</definedName>
    <definedName name="Geszbevételek_új" localSheetId="35">#REF!</definedName>
    <definedName name="Geszbevételek_új" localSheetId="6">#REF!</definedName>
    <definedName name="Geszbevételek_új" localSheetId="7">#REF!</definedName>
    <definedName name="Geszbevételek_új" localSheetId="8">#REF!</definedName>
    <definedName name="Geszbevételek_új" localSheetId="9">#REF!</definedName>
    <definedName name="Geszbevételek_új" localSheetId="10">#REF!</definedName>
    <definedName name="Geszbevételek_új" localSheetId="11">#REF!</definedName>
    <definedName name="Geszbevételek_új">#REF!</definedName>
    <definedName name="gitta" localSheetId="1">Tartalomjegyzék_2021!$A$1:$C$19</definedName>
    <definedName name="hitelek" localSheetId="15">[3]PolgármesteriHiv_szakf__3_m__!$A$1:$E$31</definedName>
    <definedName name="hitelek" localSheetId="16">[3]PolgármesteriHiv_szakf__3_m__!$A$1:$E$31</definedName>
    <definedName name="hitelek" localSheetId="29">[3]PolgármesteriHiv_szakf__3_m__!$A$1:$E$31</definedName>
    <definedName name="hitelek" localSheetId="31">[3]PolgármesteriHiv_szakf__3_m__!$A$1:$E$31</definedName>
    <definedName name="hitelek" localSheetId="32">[3]PolgármesteriHiv_szakf__3_m__!$A$1:$E$31</definedName>
    <definedName name="hitelek" localSheetId="34">[3]PolgármesteriHiv_szakf__3_m__!$A$1:$E$31</definedName>
    <definedName name="hitelek" localSheetId="1">[3]PolgármesteriHiv_szakf__3_m__!$A$1:$E$31</definedName>
    <definedName name="hitelek">[3]PolgármesteriHiv_szakf__3_m__!$A$1:$E$31</definedName>
    <definedName name="Hosszútávú" localSheetId="12">#REF!</definedName>
    <definedName name="Hosszútávú" localSheetId="14">#REF!</definedName>
    <definedName name="Hosszútávú" localSheetId="15">#REF!</definedName>
    <definedName name="Hosszútávú" localSheetId="16">#REF!</definedName>
    <definedName name="Hosszútávú" localSheetId="3">#REF!</definedName>
    <definedName name="Hosszútávú" localSheetId="4">#REF!</definedName>
    <definedName name="Hosszútávú" localSheetId="28">#REF!</definedName>
    <definedName name="Hosszútávú" localSheetId="29">#REF!</definedName>
    <definedName name="Hosszútávú" localSheetId="30">#REF!</definedName>
    <definedName name="Hosszútávú" localSheetId="31">#REF!</definedName>
    <definedName name="Hosszútávú" localSheetId="32">#REF!</definedName>
    <definedName name="Hosszútávú" localSheetId="5">#REF!</definedName>
    <definedName name="Hosszútávú" localSheetId="33">#REF!</definedName>
    <definedName name="Hosszútávú" localSheetId="35">#REF!</definedName>
    <definedName name="Hosszútávú" localSheetId="6">#REF!</definedName>
    <definedName name="Hosszútávú" localSheetId="7">#REF!</definedName>
    <definedName name="Hosszútávú" localSheetId="8">#REF!</definedName>
    <definedName name="Hosszútávú" localSheetId="9">#REF!</definedName>
    <definedName name="Hosszútávú" localSheetId="10">#REF!</definedName>
    <definedName name="Hosszútávú" localSheetId="11">#REF!</definedName>
    <definedName name="Hosszútávú" localSheetId="1">#REF!</definedName>
    <definedName name="Hosszútávú">#REF!</definedName>
    <definedName name="i" localSheetId="12">#REF!</definedName>
    <definedName name="i" localSheetId="14">#REF!</definedName>
    <definedName name="i" localSheetId="15">#REF!</definedName>
    <definedName name="i" localSheetId="16">#REF!</definedName>
    <definedName name="i" localSheetId="3">#REF!</definedName>
    <definedName name="i" localSheetId="4">#REF!</definedName>
    <definedName name="i" localSheetId="29">#REF!</definedName>
    <definedName name="i" localSheetId="31">#REF!</definedName>
    <definedName name="i" localSheetId="32">#REF!</definedName>
    <definedName name="i" localSheetId="5">#REF!</definedName>
    <definedName name="i" localSheetId="35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 localSheetId="10">#REF!</definedName>
    <definedName name="i" localSheetId="11">#REF!</definedName>
    <definedName name="i">#REF!</definedName>
    <definedName name="illetmény" localSheetId="12">#REF!</definedName>
    <definedName name="illetmény" localSheetId="14">#REF!</definedName>
    <definedName name="illetmény" localSheetId="15">#REF!</definedName>
    <definedName name="illetmény" localSheetId="16">#REF!</definedName>
    <definedName name="illetmény" localSheetId="3">#REF!</definedName>
    <definedName name="illetmény" localSheetId="4">#REF!</definedName>
    <definedName name="illetmény" localSheetId="28">#REF!</definedName>
    <definedName name="illetmény" localSheetId="29">#REF!</definedName>
    <definedName name="illetmény" localSheetId="30">#REF!</definedName>
    <definedName name="illetmény" localSheetId="31">#REF!</definedName>
    <definedName name="illetmény" localSheetId="32">#REF!</definedName>
    <definedName name="illetmény" localSheetId="5">#REF!</definedName>
    <definedName name="illetmény" localSheetId="33">#REF!</definedName>
    <definedName name="illetmény" localSheetId="35">#REF!</definedName>
    <definedName name="illetmény" localSheetId="6">#REF!</definedName>
    <definedName name="illetmény" localSheetId="7">#REF!</definedName>
    <definedName name="illetmény" localSheetId="8">#REF!</definedName>
    <definedName name="illetmény" localSheetId="9">#REF!</definedName>
    <definedName name="illetmény" localSheetId="10">#REF!</definedName>
    <definedName name="illetmény" localSheetId="11">#REF!</definedName>
    <definedName name="illetmény" localSheetId="1">#N/A</definedName>
    <definedName name="illetmény">#REF!</definedName>
    <definedName name="indul" localSheetId="15">[4]PolgármesteriHiv_szakf__3_m__!$A$1:$E$31</definedName>
    <definedName name="indul" localSheetId="16">[4]PolgármesteriHiv_szakf__3_m__!$A$1:$E$31</definedName>
    <definedName name="indul" localSheetId="28">[5]PolgármesteriHiv_szakf__3_m__!$A$1:$E$31</definedName>
    <definedName name="indul" localSheetId="29">[4]PolgármesteriHiv_szakf__3_m__!$A$1:$E$31</definedName>
    <definedName name="indul" localSheetId="31">[4]PolgármesteriHiv_szakf__3_m__!$A$1:$E$31</definedName>
    <definedName name="indul" localSheetId="32">[4]PolgármesteriHiv_szakf__3_m__!$A$1:$E$31</definedName>
    <definedName name="indul" localSheetId="34">[4]PolgármesteriHiv_szakf__3_m__!$A$1:$E$31</definedName>
    <definedName name="indul" localSheetId="1">#N/A</definedName>
    <definedName name="indul">[4]PolgármesteriHiv_szakf__3_m__!$A$1:$E$31</definedName>
    <definedName name="k" localSheetId="12">#REF!</definedName>
    <definedName name="k" localSheetId="14">#REF!</definedName>
    <definedName name="k" localSheetId="15">#REF!</definedName>
    <definedName name="k" localSheetId="16">#REF!</definedName>
    <definedName name="k" localSheetId="3">#REF!</definedName>
    <definedName name="k" localSheetId="4">#REF!</definedName>
    <definedName name="k" localSheetId="29">#REF!</definedName>
    <definedName name="k" localSheetId="31">#REF!</definedName>
    <definedName name="k" localSheetId="32">#REF!</definedName>
    <definedName name="k" localSheetId="5">#REF!</definedName>
    <definedName name="k" localSheetId="35">#REF!</definedName>
    <definedName name="k" localSheetId="6">#REF!</definedName>
    <definedName name="k" localSheetId="7">#REF!</definedName>
    <definedName name="k" localSheetId="8">#REF!</definedName>
    <definedName name="k" localSheetId="9">#REF!</definedName>
    <definedName name="k" localSheetId="10">#REF!</definedName>
    <definedName name="k" localSheetId="11">#REF!</definedName>
    <definedName name="k">#REF!</definedName>
    <definedName name="konsz" localSheetId="12">#REF!</definedName>
    <definedName name="konsz" localSheetId="14">#REF!</definedName>
    <definedName name="konsz" localSheetId="15">#REF!</definedName>
    <definedName name="konsz" localSheetId="16">#REF!</definedName>
    <definedName name="konsz" localSheetId="3">#REF!</definedName>
    <definedName name="konsz" localSheetId="4">#REF!</definedName>
    <definedName name="konsz" localSheetId="28">#REF!</definedName>
    <definedName name="konsz" localSheetId="29">#REF!</definedName>
    <definedName name="konsz" localSheetId="30">#REF!</definedName>
    <definedName name="konsz" localSheetId="31">#REF!</definedName>
    <definedName name="konsz" localSheetId="32">#REF!</definedName>
    <definedName name="konsz" localSheetId="5">#REF!</definedName>
    <definedName name="konsz" localSheetId="33">#REF!</definedName>
    <definedName name="konsz" localSheetId="35">#REF!</definedName>
    <definedName name="konsz" localSheetId="6">#REF!</definedName>
    <definedName name="konsz" localSheetId="7">#REF!</definedName>
    <definedName name="konsz" localSheetId="8">#REF!</definedName>
    <definedName name="konsz" localSheetId="9">#REF!</definedName>
    <definedName name="konsz" localSheetId="10">#REF!</definedName>
    <definedName name="konsz" localSheetId="11">#REF!</definedName>
    <definedName name="konsz" localSheetId="1">#REF!</definedName>
    <definedName name="konsz">#REF!</definedName>
    <definedName name="konsz1" localSheetId="12">#REF!</definedName>
    <definedName name="konsz1" localSheetId="14">#REF!</definedName>
    <definedName name="konsz1" localSheetId="15">#REF!</definedName>
    <definedName name="konsz1" localSheetId="16">#REF!</definedName>
    <definedName name="konsz1" localSheetId="3">#REF!</definedName>
    <definedName name="konsz1" localSheetId="4">#REF!</definedName>
    <definedName name="konsz1" localSheetId="28">#REF!</definedName>
    <definedName name="konsz1" localSheetId="29">#REF!</definedName>
    <definedName name="konsz1" localSheetId="30">#REF!</definedName>
    <definedName name="konsz1" localSheetId="31">#REF!</definedName>
    <definedName name="konsz1" localSheetId="32">#REF!</definedName>
    <definedName name="konsz1" localSheetId="5">#REF!</definedName>
    <definedName name="konsz1" localSheetId="33">#REF!</definedName>
    <definedName name="konsz1" localSheetId="35">#REF!</definedName>
    <definedName name="konsz1" localSheetId="6">#REF!</definedName>
    <definedName name="konsz1" localSheetId="7">#REF!</definedName>
    <definedName name="konsz1" localSheetId="8">#REF!</definedName>
    <definedName name="konsz1" localSheetId="9">#REF!</definedName>
    <definedName name="konsz1" localSheetId="10">#REF!</definedName>
    <definedName name="konsz1" localSheetId="11">#REF!</definedName>
    <definedName name="konsz1" localSheetId="1">#REF!</definedName>
    <definedName name="konsz1">#REF!</definedName>
    <definedName name="konsz2" localSheetId="12">#REF!</definedName>
    <definedName name="konsz2" localSheetId="14">#REF!</definedName>
    <definedName name="konsz2" localSheetId="15">#REF!</definedName>
    <definedName name="konsz2" localSheetId="16">#REF!</definedName>
    <definedName name="konsz2" localSheetId="3">#REF!</definedName>
    <definedName name="konsz2" localSheetId="4">#REF!</definedName>
    <definedName name="konsz2" localSheetId="28">#REF!</definedName>
    <definedName name="konsz2" localSheetId="29">#REF!</definedName>
    <definedName name="konsz2" localSheetId="30">#REF!</definedName>
    <definedName name="konsz2" localSheetId="31">#REF!</definedName>
    <definedName name="konsz2" localSheetId="32">#REF!</definedName>
    <definedName name="konsz2" localSheetId="5">#REF!</definedName>
    <definedName name="konsz2" localSheetId="33">#REF!</definedName>
    <definedName name="konsz2" localSheetId="35">#REF!</definedName>
    <definedName name="konsz2" localSheetId="6">#REF!</definedName>
    <definedName name="konsz2" localSheetId="7">#REF!</definedName>
    <definedName name="konsz2" localSheetId="8">#REF!</definedName>
    <definedName name="konsz2" localSheetId="9">#REF!</definedName>
    <definedName name="konsz2" localSheetId="10">#REF!</definedName>
    <definedName name="konsz2" localSheetId="11">#REF!</definedName>
    <definedName name="konsz2" localSheetId="1">#REF!</definedName>
    <definedName name="konsz2">#REF!</definedName>
    <definedName name="Kötvény" localSheetId="12">#REF!</definedName>
    <definedName name="Kötvény" localSheetId="14">#REF!</definedName>
    <definedName name="Kötvény" localSheetId="15">#REF!</definedName>
    <definedName name="Kötvény" localSheetId="16">#REF!</definedName>
    <definedName name="Kötvény" localSheetId="3">#REF!</definedName>
    <definedName name="Kötvény" localSheetId="4">#REF!</definedName>
    <definedName name="Kötvény" localSheetId="28">#REF!</definedName>
    <definedName name="Kötvény" localSheetId="29">#REF!</definedName>
    <definedName name="Kötvény" localSheetId="30">#REF!</definedName>
    <definedName name="Kötvény" localSheetId="31">#REF!</definedName>
    <definedName name="Kötvény" localSheetId="32">#REF!</definedName>
    <definedName name="Kötvény" localSheetId="5">#REF!</definedName>
    <definedName name="Kötvény" localSheetId="33">#REF!</definedName>
    <definedName name="Kötvény" localSheetId="35">#REF!</definedName>
    <definedName name="Kötvény" localSheetId="6">#REF!</definedName>
    <definedName name="Kötvény" localSheetId="7">#REF!</definedName>
    <definedName name="Kötvény" localSheetId="8">#REF!</definedName>
    <definedName name="Kötvény" localSheetId="9">#REF!</definedName>
    <definedName name="Kötvény" localSheetId="10">#REF!</definedName>
    <definedName name="Kötvény" localSheetId="11">#REF!</definedName>
    <definedName name="Kötvény" localSheetId="1">#REF!</definedName>
    <definedName name="Kötvény">#REF!</definedName>
    <definedName name="Kötvénnyel" localSheetId="15">[3]PolgármesteriHiv_szakf__3_m__!$A$1:$E$31</definedName>
    <definedName name="Kötvénnyel" localSheetId="16">[3]PolgármesteriHiv_szakf__3_m__!$A$1:$E$31</definedName>
    <definedName name="Kötvénnyel" localSheetId="29">[3]PolgármesteriHiv_szakf__3_m__!$A$1:$E$31</definedName>
    <definedName name="Kötvénnyel" localSheetId="31">[3]PolgármesteriHiv_szakf__3_m__!$A$1:$E$31</definedName>
    <definedName name="Kötvénnyel" localSheetId="32">[3]PolgármesteriHiv_szakf__3_m__!$A$1:$E$31</definedName>
    <definedName name="Kötvénnyel" localSheetId="34">[3]PolgármesteriHiv_szakf__3_m__!$A$1:$E$31</definedName>
    <definedName name="Kötvénnyel" localSheetId="1">[3]PolgármesteriHiv_szakf__3_m__!$A$1:$E$31</definedName>
    <definedName name="Kötvénnyel">[3]PolgármesteriHiv_szakf__3_m__!$A$1:$E$31</definedName>
    <definedName name="közvet.tám" localSheetId="15">#REF!</definedName>
    <definedName name="közvet.tám" localSheetId="16">#REF!</definedName>
    <definedName name="közvet.tám" localSheetId="29">#REF!</definedName>
    <definedName name="közvet.tám" localSheetId="31">#REF!</definedName>
    <definedName name="közvet.tám" localSheetId="32">#REF!</definedName>
    <definedName name="közvet.tám" localSheetId="34">#REF!</definedName>
    <definedName name="közvet.tám" localSheetId="35">#REF!</definedName>
    <definedName name="közvet.tám" localSheetId="6">#REF!</definedName>
    <definedName name="közvet.tám" localSheetId="9">#REF!</definedName>
    <definedName name="közvet.tám" localSheetId="10">#REF!</definedName>
    <definedName name="közvet.tám">#REF!</definedName>
    <definedName name="l" localSheetId="12">#REF!</definedName>
    <definedName name="l" localSheetId="14">#REF!</definedName>
    <definedName name="l" localSheetId="15">#REF!</definedName>
    <definedName name="l" localSheetId="16">#REF!</definedName>
    <definedName name="l" localSheetId="3">#REF!</definedName>
    <definedName name="l" localSheetId="4">#REF!</definedName>
    <definedName name="l" localSheetId="29">#REF!</definedName>
    <definedName name="l" localSheetId="31">#REF!</definedName>
    <definedName name="l" localSheetId="32">#REF!</definedName>
    <definedName name="l" localSheetId="5">#REF!</definedName>
    <definedName name="l" localSheetId="35">#REF!</definedName>
    <definedName name="l" localSheetId="6">#REF!</definedName>
    <definedName name="l" localSheetId="7">#REF!</definedName>
    <definedName name="l" localSheetId="8">#REF!</definedName>
    <definedName name="l" localSheetId="9">#REF!</definedName>
    <definedName name="l" localSheetId="10">#REF!</definedName>
    <definedName name="l" localSheetId="11">#REF!</definedName>
    <definedName name="l">#REF!</definedName>
    <definedName name="Létszám" localSheetId="15">[4]PolgármesteriHiv_szakf__3_m__!$A$1:$E$31</definedName>
    <definedName name="Létszám" localSheetId="16">[4]PolgármesteriHiv_szakf__3_m__!$A$1:$E$31</definedName>
    <definedName name="Létszám" localSheetId="29">[4]PolgármesteriHiv_szakf__3_m__!$A$1:$E$31</definedName>
    <definedName name="Létszám" localSheetId="32">[4]PolgármesteriHiv_szakf__3_m__!$A$1:$E$31</definedName>
    <definedName name="Létszám" localSheetId="34">[4]PolgármesteriHiv_szakf__3_m__!$A$1:$E$31</definedName>
    <definedName name="Létszám">[4]PolgármesteriHiv_szakf__3_m__!$A$1:$E$31</definedName>
    <definedName name="Ligeti" localSheetId="16">#REF!</definedName>
    <definedName name="Ligeti" localSheetId="35">#REF!</definedName>
    <definedName name="Ligeti">#REF!</definedName>
    <definedName name="ll" localSheetId="12">#REF!</definedName>
    <definedName name="ll" localSheetId="14">#REF!</definedName>
    <definedName name="ll" localSheetId="15">#REF!</definedName>
    <definedName name="ll" localSheetId="16">#REF!</definedName>
    <definedName name="ll" localSheetId="3">#REF!</definedName>
    <definedName name="ll" localSheetId="4">#REF!</definedName>
    <definedName name="ll" localSheetId="29">#REF!</definedName>
    <definedName name="ll" localSheetId="31">#REF!</definedName>
    <definedName name="ll" localSheetId="32">#REF!</definedName>
    <definedName name="ll" localSheetId="5">#REF!</definedName>
    <definedName name="ll" localSheetId="35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>#REF!</definedName>
    <definedName name="lll" localSheetId="12">#REF!</definedName>
    <definedName name="lll" localSheetId="14">#REF!</definedName>
    <definedName name="lll" localSheetId="15">#REF!</definedName>
    <definedName name="lll" localSheetId="16">#REF!</definedName>
    <definedName name="lll" localSheetId="3">#REF!</definedName>
    <definedName name="lll" localSheetId="4">#REF!</definedName>
    <definedName name="lll" localSheetId="29">#REF!</definedName>
    <definedName name="lll" localSheetId="31">#REF!</definedName>
    <definedName name="lll" localSheetId="32">#REF!</definedName>
    <definedName name="lll" localSheetId="5">#REF!</definedName>
    <definedName name="lll" localSheetId="35">#REF!</definedName>
    <definedName name="lll" localSheetId="6">#REF!</definedName>
    <definedName name="lll" localSheetId="7">#REF!</definedName>
    <definedName name="lll" localSheetId="8">#REF!</definedName>
    <definedName name="lll" localSheetId="9">#REF!</definedName>
    <definedName name="lll" localSheetId="10">#REF!</definedName>
    <definedName name="lll" localSheetId="11">#REF!</definedName>
    <definedName name="lll">#REF!</definedName>
    <definedName name="llll" localSheetId="12">#REF!</definedName>
    <definedName name="llll" localSheetId="14">#REF!</definedName>
    <definedName name="llll" localSheetId="15">#REF!</definedName>
    <definedName name="llll" localSheetId="16">#REF!</definedName>
    <definedName name="llll" localSheetId="3">#REF!</definedName>
    <definedName name="llll" localSheetId="4">#REF!</definedName>
    <definedName name="llll" localSheetId="29">#REF!</definedName>
    <definedName name="llll" localSheetId="31">#REF!</definedName>
    <definedName name="llll" localSheetId="32">#REF!</definedName>
    <definedName name="llll" localSheetId="5">#REF!</definedName>
    <definedName name="llll" localSheetId="35">#REF!</definedName>
    <definedName name="llll" localSheetId="6">#REF!</definedName>
    <definedName name="llll" localSheetId="7">#REF!</definedName>
    <definedName name="llll" localSheetId="8">#REF!</definedName>
    <definedName name="llll" localSheetId="9">#REF!</definedName>
    <definedName name="llll" localSheetId="10">#REF!</definedName>
    <definedName name="llll" localSheetId="11">#REF!</definedName>
    <definedName name="llll">#REF!</definedName>
    <definedName name="lllll" localSheetId="12">#REF!</definedName>
    <definedName name="lllll" localSheetId="14">#REF!</definedName>
    <definedName name="lllll" localSheetId="15">#REF!</definedName>
    <definedName name="lllll" localSheetId="16">#REF!</definedName>
    <definedName name="lllll" localSheetId="3">#REF!</definedName>
    <definedName name="lllll" localSheetId="4">#REF!</definedName>
    <definedName name="lllll" localSheetId="29">#REF!</definedName>
    <definedName name="lllll" localSheetId="31">#REF!</definedName>
    <definedName name="lllll" localSheetId="32">#REF!</definedName>
    <definedName name="lllll" localSheetId="5">#REF!</definedName>
    <definedName name="lllll" localSheetId="35">#REF!</definedName>
    <definedName name="lllll" localSheetId="6">#REF!</definedName>
    <definedName name="lllll" localSheetId="7">#REF!</definedName>
    <definedName name="lllll" localSheetId="8">#REF!</definedName>
    <definedName name="lllll" localSheetId="9">#REF!</definedName>
    <definedName name="lllll" localSheetId="10">#REF!</definedName>
    <definedName name="lllll" localSheetId="11">#REF!</definedName>
    <definedName name="lllll">#REF!</definedName>
    <definedName name="llllll" localSheetId="12">#REF!</definedName>
    <definedName name="llllll" localSheetId="14">#REF!</definedName>
    <definedName name="llllll" localSheetId="15">#REF!</definedName>
    <definedName name="llllll" localSheetId="16">#REF!</definedName>
    <definedName name="llllll" localSheetId="3">#REF!</definedName>
    <definedName name="llllll" localSheetId="4">#REF!</definedName>
    <definedName name="llllll" localSheetId="29">#REF!</definedName>
    <definedName name="llllll" localSheetId="31">#REF!</definedName>
    <definedName name="llllll" localSheetId="32">#REF!</definedName>
    <definedName name="llllll" localSheetId="5">#REF!</definedName>
    <definedName name="llllll" localSheetId="35">#REF!</definedName>
    <definedName name="llllll" localSheetId="6">#REF!</definedName>
    <definedName name="llllll" localSheetId="7">#REF!</definedName>
    <definedName name="llllll" localSheetId="8">#REF!</definedName>
    <definedName name="llllll" localSheetId="9">#REF!</definedName>
    <definedName name="llllll" localSheetId="10">#REF!</definedName>
    <definedName name="llllll" localSheetId="11">#REF!</definedName>
    <definedName name="llllll">#REF!</definedName>
    <definedName name="llllllllllll" localSheetId="12">#REF!</definedName>
    <definedName name="llllllllllll" localSheetId="14">#REF!</definedName>
    <definedName name="llllllllllll" localSheetId="15">#REF!</definedName>
    <definedName name="llllllllllll" localSheetId="16">#REF!</definedName>
    <definedName name="llllllllllll" localSheetId="3">#REF!</definedName>
    <definedName name="llllllllllll" localSheetId="4">#REF!</definedName>
    <definedName name="llllllllllll" localSheetId="29">#REF!</definedName>
    <definedName name="llllllllllll" localSheetId="31">#REF!</definedName>
    <definedName name="llllllllllll" localSheetId="32">#REF!</definedName>
    <definedName name="llllllllllll" localSheetId="5">#REF!</definedName>
    <definedName name="llllllllllll" localSheetId="35">#REF!</definedName>
    <definedName name="llllllllllll" localSheetId="6">#REF!</definedName>
    <definedName name="llllllllllll" localSheetId="7">#REF!</definedName>
    <definedName name="llllllllllll" localSheetId="8">#REF!</definedName>
    <definedName name="llllllllllll" localSheetId="9">#REF!</definedName>
    <definedName name="llllllllllll" localSheetId="10">#REF!</definedName>
    <definedName name="llllllllllll" localSheetId="11">#REF!</definedName>
    <definedName name="llllllllllll">#REF!</definedName>
    <definedName name="llllllllllllllllllllllllllllll" localSheetId="12">#REF!</definedName>
    <definedName name="llllllllllllllllllllllllllllll" localSheetId="14">#REF!</definedName>
    <definedName name="llllllllllllllllllllllllllllll" localSheetId="15">#REF!</definedName>
    <definedName name="llllllllllllllllllllllllllllll" localSheetId="16">#REF!</definedName>
    <definedName name="llllllllllllllllllllllllllllll" localSheetId="3">#REF!</definedName>
    <definedName name="llllllllllllllllllllllllllllll" localSheetId="4">#REF!</definedName>
    <definedName name="llllllllllllllllllllllllllllll" localSheetId="29">#REF!</definedName>
    <definedName name="llllllllllllllllllllllllllllll" localSheetId="31">#REF!</definedName>
    <definedName name="llllllllllllllllllllllllllllll" localSheetId="32">#REF!</definedName>
    <definedName name="llllllllllllllllllllllllllllll" localSheetId="5">#REF!</definedName>
    <definedName name="llllllllllllllllllllllllllllll" localSheetId="35">#REF!</definedName>
    <definedName name="llllllllllllllllllllllllllllll" localSheetId="6">#REF!</definedName>
    <definedName name="llllllllllllllllllllllllllllll" localSheetId="7">#REF!</definedName>
    <definedName name="llllllllllllllllllllllllllllll" localSheetId="8">#REF!</definedName>
    <definedName name="llllllllllllllllllllllllllllll" localSheetId="9">#REF!</definedName>
    <definedName name="llllllllllllllllllllllllllllll" localSheetId="10">#REF!</definedName>
    <definedName name="llllllllllllllllllllllllllllll" localSheetId="11">#REF!</definedName>
    <definedName name="llllllllllllllllllllllllllllll">#REF!</definedName>
    <definedName name="Mérleg" localSheetId="12">#REF!</definedName>
    <definedName name="Mérleg" localSheetId="14">#REF!</definedName>
    <definedName name="Mérleg" localSheetId="15">#REF!</definedName>
    <definedName name="Mérleg" localSheetId="16">#REF!</definedName>
    <definedName name="Mérleg" localSheetId="3">#REF!</definedName>
    <definedName name="Mérleg" localSheetId="4">#REF!</definedName>
    <definedName name="Mérleg" localSheetId="28">#REF!</definedName>
    <definedName name="Mérleg" localSheetId="29">#REF!</definedName>
    <definedName name="Mérleg" localSheetId="30">#REF!</definedName>
    <definedName name="Mérleg" localSheetId="31">#REF!</definedName>
    <definedName name="Mérleg" localSheetId="32">#REF!</definedName>
    <definedName name="Mérleg" localSheetId="5">#REF!</definedName>
    <definedName name="Mérleg" localSheetId="33">#REF!</definedName>
    <definedName name="Mérleg" localSheetId="35">#REF!</definedName>
    <definedName name="Mérleg" localSheetId="6">#REF!</definedName>
    <definedName name="Mérleg" localSheetId="7">#REF!</definedName>
    <definedName name="Mérleg" localSheetId="8">#REF!</definedName>
    <definedName name="Mérleg" localSheetId="9">#REF!</definedName>
    <definedName name="Mérleg" localSheetId="10">#REF!</definedName>
    <definedName name="Mérleg" localSheetId="11">#REF!</definedName>
    <definedName name="Mérleg" localSheetId="1">#N/A</definedName>
    <definedName name="Mérleg">#REF!</definedName>
    <definedName name="Nemet" localSheetId="16">#REF!</definedName>
    <definedName name="Nemet" localSheetId="35">#REF!</definedName>
    <definedName name="Nemet">#REF!</definedName>
    <definedName name="Német" localSheetId="16">#REF!</definedName>
    <definedName name="Német" localSheetId="35">#REF!</definedName>
    <definedName name="Német">#REF!</definedName>
    <definedName name="Névtelen" localSheetId="12">#REF!</definedName>
    <definedName name="Névtelen" localSheetId="14">#REF!</definedName>
    <definedName name="Névtelen" localSheetId="15">#REF!</definedName>
    <definedName name="Névtelen" localSheetId="16">#REF!</definedName>
    <definedName name="Névtelen" localSheetId="3">#REF!</definedName>
    <definedName name="Névtelen" localSheetId="4">#REF!</definedName>
    <definedName name="Névtelen" localSheetId="28">#REF!</definedName>
    <definedName name="Névtelen" localSheetId="29">#REF!</definedName>
    <definedName name="Névtelen" localSheetId="30">#REF!</definedName>
    <definedName name="Névtelen" localSheetId="31">#REF!</definedName>
    <definedName name="Névtelen" localSheetId="32">#REF!</definedName>
    <definedName name="Névtelen" localSheetId="5">#REF!</definedName>
    <definedName name="Névtelen" localSheetId="33">#REF!</definedName>
    <definedName name="Névtelen" localSheetId="35">#REF!</definedName>
    <definedName name="Névtelen" localSheetId="6">#REF!</definedName>
    <definedName name="Névtelen" localSheetId="7">#REF!</definedName>
    <definedName name="Névtelen" localSheetId="8">#REF!</definedName>
    <definedName name="Névtelen" localSheetId="9">#REF!</definedName>
    <definedName name="Névtelen" localSheetId="10">#REF!</definedName>
    <definedName name="Névtelen" localSheetId="11">#REF!</definedName>
    <definedName name="Névtelen" localSheetId="1">#N/A</definedName>
    <definedName name="Névtelen">#REF!</definedName>
    <definedName name="NNÓ" localSheetId="16">#REF!</definedName>
    <definedName name="NNÓ" localSheetId="35">#REF!</definedName>
    <definedName name="NNÓ">#REF!</definedName>
    <definedName name="Normatíva" localSheetId="12">#REF!</definedName>
    <definedName name="Normatíva" localSheetId="14">#REF!</definedName>
    <definedName name="Normatíva" localSheetId="15">#REF!</definedName>
    <definedName name="Normatíva" localSheetId="16">#REF!</definedName>
    <definedName name="Normatíva" localSheetId="3">#REF!</definedName>
    <definedName name="Normatíva" localSheetId="4">#REF!</definedName>
    <definedName name="Normatíva" localSheetId="28">#REF!</definedName>
    <definedName name="Normatíva" localSheetId="29">#REF!</definedName>
    <definedName name="Normatíva" localSheetId="30">#REF!</definedName>
    <definedName name="Normatíva" localSheetId="31">#REF!</definedName>
    <definedName name="Normatíva" localSheetId="32">#REF!</definedName>
    <definedName name="Normatíva" localSheetId="5">#REF!</definedName>
    <definedName name="Normatíva" localSheetId="33">#REF!</definedName>
    <definedName name="Normatíva" localSheetId="35">#REF!</definedName>
    <definedName name="Normatíva" localSheetId="6">#REF!</definedName>
    <definedName name="Normatíva" localSheetId="7">#REF!</definedName>
    <definedName name="Normatíva" localSheetId="8">#REF!</definedName>
    <definedName name="Normatíva" localSheetId="9">#REF!</definedName>
    <definedName name="Normatíva" localSheetId="10">#REF!</definedName>
    <definedName name="Normatíva" localSheetId="11">#REF!</definedName>
    <definedName name="Normatíva" localSheetId="1">#REF!</definedName>
    <definedName name="Normatíva">#REF!</definedName>
    <definedName name="_xlnm.Print_Titles" localSheetId="15">'13.- Költségvetési támogatások'!$9:$9</definedName>
    <definedName name="_xlnm.Print_Area" localSheetId="2">'1.Bev_kiad_kiemelt ei'!$A$1:$J$19</definedName>
    <definedName name="_xlnm.Print_Area" localSheetId="12">'10.GESZ'!$A$1:$F$65</definedName>
    <definedName name="_xlnm.Print_Area" localSheetId="13">'11. Bölcsöde'!$A$1:$F$65</definedName>
    <definedName name="_xlnm.Print_Area" localSheetId="14">'12.-Támogatási bevételek (B (2)'!$A$1:$R$22</definedName>
    <definedName name="_xlnm.Print_Area" localSheetId="15">'13.- Költségvetési támogatások'!$A$1:$C$58</definedName>
    <definedName name="_xlnm.Print_Area" localSheetId="16">'14. Intézményi normatíva'!$A$1:$E$67</definedName>
    <definedName name="_xlnm.Print_Area" localSheetId="17">'15. Működési bev. (B3,B4)'!$A$1:$G$48</definedName>
    <definedName name="_xlnm.Print_Area" localSheetId="18">'16. Átvett pénze.(B6,B7)'!$A$1:$D$33</definedName>
    <definedName name="_xlnm.Print_Area" localSheetId="19">'17. finanszírozás be_ki (B8,K9)'!$A$1:$E$35</definedName>
    <definedName name="_xlnm.Print_Area" localSheetId="20">'18. Dologi kiadások cofog(K3)'!$A$1:$G$35</definedName>
    <definedName name="_xlnm.Print_Area" localSheetId="22">'19._Ellátottak p.jutattás (K4)'!$A$1:$G$22</definedName>
    <definedName name="_xlnm.Print_Area" localSheetId="3">'2.Bevételek_részletes'!$A$1:$L$45</definedName>
    <definedName name="_xlnm.Print_Area" localSheetId="4">'2.Kiadások_részletes '!$A$1:$L$35</definedName>
    <definedName name="_xlnm.Print_Area" localSheetId="23">'20. Pe. átad. és tám. (K5)'!$A$1:$E$39</definedName>
    <definedName name="_xlnm.Print_Area" localSheetId="24">'21. Tartalékok (K512)'!$A$1:$D$25</definedName>
    <definedName name="_xlnm.Print_Area" localSheetId="25">'22. Beruházás (K6)'!$A$1:$F$37</definedName>
    <definedName name="_xlnm.Print_Area" localSheetId="26">'23. Felújítás (K7)'!$A$1:$F$17</definedName>
    <definedName name="_xlnm.Print_Area" localSheetId="27">'24.-Több éves elköt.'!$A$1:$K$21</definedName>
    <definedName name="_xlnm.Print_Area" localSheetId="28">'25.sz.létszám'!$A$1:$G$40</definedName>
    <definedName name="_xlnm.Print_Area" localSheetId="29">'26. ktgv.mérleg'!$A$1:$L$33</definedName>
    <definedName name="_xlnm.Print_Area" localSheetId="30">'27.eir.felh.ütemterv'!$A$1:$O$29</definedName>
    <definedName name="_xlnm.Print_Area" localSheetId="31">'28.sz.finansz.ütemterv'!$A$1:$G$35</definedName>
    <definedName name="_xlnm.Print_Area" localSheetId="32">'29.sz.közvetett tám. (2)'!$A$1:$D$33</definedName>
    <definedName name="_xlnm.Print_Area" localSheetId="5">'3. Gesz költségvetés'!$A$1:$P$53</definedName>
    <definedName name="_xlnm.Print_Area" localSheetId="33">'30.sz.adósságszolgálat'!$A$1:$C$9</definedName>
    <definedName name="_xlnm.Print_Area" localSheetId="34">'31. gördülő'!$A$1:$F$49</definedName>
    <definedName name="_xlnm.Print_Area" localSheetId="35">'33. EU projekt'!$A$1:$F$31</definedName>
    <definedName name="_xlnm.Print_Area" localSheetId="6">'4. Köt+önk_Önkori'!$A$1:$F$70</definedName>
    <definedName name="_xlnm.Print_Area" localSheetId="7">'5. Köt+önk_PH'!$A$1:$F$67</definedName>
    <definedName name="_xlnm.Print_Area" localSheetId="8">'6. Köt+önk_Szakorvosi'!$A$1:$F$63</definedName>
    <definedName name="_xlnm.Print_Area" localSheetId="9">'7.Ligeti cseperedő Ovi'!$A$1:$F$65</definedName>
    <definedName name="_xlnm.Print_Area" localSheetId="10">'8.Német nemzetiségi Ovi'!$A$1:$F$65</definedName>
    <definedName name="_xlnm.Print_Area" localSheetId="11">'9.Művészetek Háza'!$A$1:$G$65</definedName>
    <definedName name="_xlnm.Print_Area" localSheetId="1">Tartalomjegyzék_2021!$A$1:$B$39</definedName>
    <definedName name="OLE_LINK1" localSheetId="25">'22. Beruházás (K6)'!#REF!</definedName>
    <definedName name="Összehas.norm." localSheetId="12">#REF!</definedName>
    <definedName name="Összehas.norm." localSheetId="14">#REF!</definedName>
    <definedName name="Összehas.norm." localSheetId="15">#REF!</definedName>
    <definedName name="Összehas.norm." localSheetId="16">#REF!</definedName>
    <definedName name="Összehas.norm." localSheetId="3">#REF!</definedName>
    <definedName name="Összehas.norm." localSheetId="4">#REF!</definedName>
    <definedName name="Összehas.norm." localSheetId="28">#REF!</definedName>
    <definedName name="Összehas.norm." localSheetId="29">#REF!</definedName>
    <definedName name="Összehas.norm." localSheetId="30">#REF!</definedName>
    <definedName name="Összehas.norm." localSheetId="31">#REF!</definedName>
    <definedName name="Összehas.norm." localSheetId="32">#REF!</definedName>
    <definedName name="Összehas.norm." localSheetId="5">#REF!</definedName>
    <definedName name="Összehas.norm." localSheetId="33">#REF!</definedName>
    <definedName name="Összehas.norm." localSheetId="35">#REF!</definedName>
    <definedName name="Összehas.norm." localSheetId="6">#REF!</definedName>
    <definedName name="Összehas.norm." localSheetId="7">#REF!</definedName>
    <definedName name="Összehas.norm." localSheetId="8">#REF!</definedName>
    <definedName name="Összehas.norm." localSheetId="9">#REF!</definedName>
    <definedName name="Összehas.norm." localSheetId="10">#REF!</definedName>
    <definedName name="Összehas.norm." localSheetId="11">#REF!</definedName>
    <definedName name="Összehas.norm." localSheetId="1">#N/A</definedName>
    <definedName name="Összehas.norm.">#REF!</definedName>
    <definedName name="p" localSheetId="12">#REF!</definedName>
    <definedName name="p" localSheetId="14">#REF!</definedName>
    <definedName name="p" localSheetId="15">#REF!</definedName>
    <definedName name="p" localSheetId="16">#REF!</definedName>
    <definedName name="p" localSheetId="3">#REF!</definedName>
    <definedName name="p" localSheetId="4">#REF!</definedName>
    <definedName name="p" localSheetId="29">#REF!</definedName>
    <definedName name="p" localSheetId="31">#REF!</definedName>
    <definedName name="p" localSheetId="32">#REF!</definedName>
    <definedName name="p" localSheetId="5">#REF!</definedName>
    <definedName name="p" localSheetId="35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 localSheetId="10">#REF!</definedName>
    <definedName name="p" localSheetId="11">#REF!</definedName>
    <definedName name="p">#REF!</definedName>
    <definedName name="Státusz" localSheetId="12">#REF!</definedName>
    <definedName name="Státusz" localSheetId="14">#REF!</definedName>
    <definedName name="Státusz" localSheetId="15">#REF!</definedName>
    <definedName name="Státusz" localSheetId="16">#REF!</definedName>
    <definedName name="Státusz" localSheetId="3">#REF!</definedName>
    <definedName name="Státusz" localSheetId="4">#REF!</definedName>
    <definedName name="Státusz" localSheetId="28">#REF!</definedName>
    <definedName name="Státusz" localSheetId="29">#REF!</definedName>
    <definedName name="Státusz" localSheetId="30">#REF!</definedName>
    <definedName name="Státusz" localSheetId="31">#REF!</definedName>
    <definedName name="Státusz" localSheetId="32">#REF!</definedName>
    <definedName name="Státusz" localSheetId="5">#REF!</definedName>
    <definedName name="Státusz" localSheetId="33">#REF!</definedName>
    <definedName name="Státusz" localSheetId="35">#REF!</definedName>
    <definedName name="Státusz" localSheetId="6">#REF!</definedName>
    <definedName name="Státusz" localSheetId="7">#REF!</definedName>
    <definedName name="Státusz" localSheetId="8">#REF!</definedName>
    <definedName name="Státusz" localSheetId="9">#REF!</definedName>
    <definedName name="Státusz" localSheetId="10">#REF!</definedName>
    <definedName name="Státusz" localSheetId="11">#REF!</definedName>
    <definedName name="Státusz" localSheetId="1">#N/A</definedName>
    <definedName name="Státusz">#REF!</definedName>
    <definedName name="t" localSheetId="12">#REF!</definedName>
    <definedName name="t" localSheetId="14">#REF!</definedName>
    <definedName name="t" localSheetId="15">#REF!</definedName>
    <definedName name="t" localSheetId="16">#REF!</definedName>
    <definedName name="t" localSheetId="3">#REF!</definedName>
    <definedName name="t" localSheetId="4">#REF!</definedName>
    <definedName name="t" localSheetId="29">#REF!</definedName>
    <definedName name="t" localSheetId="31">#REF!</definedName>
    <definedName name="t" localSheetId="32">#REF!</definedName>
    <definedName name="t" localSheetId="5">#REF!</definedName>
    <definedName name="t" localSheetId="35">#REF!</definedName>
    <definedName name="t" localSheetId="6">#REF!</definedName>
    <definedName name="t" localSheetId="7">#REF!</definedName>
    <definedName name="t" localSheetId="8">#REF!</definedName>
    <definedName name="t" localSheetId="9">#REF!</definedName>
    <definedName name="t" localSheetId="10">#REF!</definedName>
    <definedName name="t" localSheetId="11">#REF!</definedName>
    <definedName name="t">#REF!</definedName>
    <definedName name="tartos" localSheetId="15">#REF!</definedName>
    <definedName name="tartos" localSheetId="16">#REF!</definedName>
    <definedName name="tartos" localSheetId="29">#REF!</definedName>
    <definedName name="tartos" localSheetId="31">#REF!</definedName>
    <definedName name="tartos" localSheetId="32">#REF!</definedName>
    <definedName name="tartos" localSheetId="35">#REF!</definedName>
    <definedName name="tartos" localSheetId="6">#REF!</definedName>
    <definedName name="tartos" localSheetId="9">#REF!</definedName>
    <definedName name="tartos" localSheetId="10">#REF!</definedName>
    <definedName name="tartos">#REF!</definedName>
    <definedName name="u" localSheetId="12">#REF!</definedName>
    <definedName name="u" localSheetId="14">#REF!</definedName>
    <definedName name="u" localSheetId="15">#REF!</definedName>
    <definedName name="u" localSheetId="16">#REF!</definedName>
    <definedName name="u" localSheetId="3">#REF!</definedName>
    <definedName name="u" localSheetId="4">#REF!</definedName>
    <definedName name="u" localSheetId="29">#REF!</definedName>
    <definedName name="u" localSheetId="31">#REF!</definedName>
    <definedName name="u" localSheetId="32">#REF!</definedName>
    <definedName name="u" localSheetId="5">#REF!</definedName>
    <definedName name="u" localSheetId="35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>#REF!</definedName>
    <definedName name="ú" localSheetId="12">#REF!</definedName>
    <definedName name="ú" localSheetId="14">#REF!</definedName>
    <definedName name="ú" localSheetId="15">#REF!</definedName>
    <definedName name="ú" localSheetId="16">#REF!</definedName>
    <definedName name="ú" localSheetId="3">#REF!</definedName>
    <definedName name="ú" localSheetId="4">#REF!</definedName>
    <definedName name="ú" localSheetId="29">#REF!</definedName>
    <definedName name="ú" localSheetId="31">#REF!</definedName>
    <definedName name="ú" localSheetId="32">#REF!</definedName>
    <definedName name="ú" localSheetId="5">#REF!</definedName>
    <definedName name="ú" localSheetId="35">#REF!</definedName>
    <definedName name="ú" localSheetId="6">#REF!</definedName>
    <definedName name="ú" localSheetId="7">#REF!</definedName>
    <definedName name="ú" localSheetId="8">#REF!</definedName>
    <definedName name="ú" localSheetId="9">#REF!</definedName>
    <definedName name="ú" localSheetId="10">#REF!</definedName>
    <definedName name="ú" localSheetId="11">#REF!</definedName>
    <definedName name="ú">#REF!</definedName>
    <definedName name="új1" localSheetId="15">#REF!</definedName>
    <definedName name="új1" localSheetId="16">#REF!</definedName>
    <definedName name="új1" localSheetId="29">#REF!</definedName>
    <definedName name="új1" localSheetId="31">#REF!</definedName>
    <definedName name="új1" localSheetId="32">#REF!</definedName>
    <definedName name="új1" localSheetId="35">#REF!</definedName>
    <definedName name="új1" localSheetId="6">#REF!</definedName>
    <definedName name="új1" localSheetId="9">#REF!</definedName>
    <definedName name="új1" localSheetId="10">#REF!</definedName>
    <definedName name="új1">#REF!</definedName>
    <definedName name="új10" localSheetId="15">#REF!</definedName>
    <definedName name="új10" localSheetId="16">#REF!</definedName>
    <definedName name="új10" localSheetId="29">#REF!</definedName>
    <definedName name="új10" localSheetId="31">#REF!</definedName>
    <definedName name="új10" localSheetId="32">#REF!</definedName>
    <definedName name="új10" localSheetId="35">#REF!</definedName>
    <definedName name="új10" localSheetId="6">#REF!</definedName>
    <definedName name="új10" localSheetId="9">#REF!</definedName>
    <definedName name="új10" localSheetId="10">#REF!</definedName>
    <definedName name="új10">#REF!</definedName>
    <definedName name="új11" localSheetId="15">#REF!</definedName>
    <definedName name="új11" localSheetId="16">#REF!</definedName>
    <definedName name="új11" localSheetId="29">#REF!</definedName>
    <definedName name="új11" localSheetId="31">#REF!</definedName>
    <definedName name="új11" localSheetId="32">#REF!</definedName>
    <definedName name="új11" localSheetId="35">#REF!</definedName>
    <definedName name="új11" localSheetId="6">#REF!</definedName>
    <definedName name="új11" localSheetId="9">#REF!</definedName>
    <definedName name="új11" localSheetId="10">#REF!</definedName>
    <definedName name="új11">#REF!</definedName>
    <definedName name="új12" localSheetId="15">#REF!</definedName>
    <definedName name="új12" localSheetId="16">#REF!</definedName>
    <definedName name="új12" localSheetId="29">#REF!</definedName>
    <definedName name="új12" localSheetId="31">#REF!</definedName>
    <definedName name="új12" localSheetId="32">#REF!</definedName>
    <definedName name="új12" localSheetId="35">#REF!</definedName>
    <definedName name="új12" localSheetId="6">#REF!</definedName>
    <definedName name="új12" localSheetId="9">#REF!</definedName>
    <definedName name="új12" localSheetId="10">#REF!</definedName>
    <definedName name="új12">#REF!</definedName>
    <definedName name="új13" localSheetId="15">#REF!</definedName>
    <definedName name="új13" localSheetId="16">#REF!</definedName>
    <definedName name="új13" localSheetId="29">#REF!</definedName>
    <definedName name="új13" localSheetId="31">#REF!</definedName>
    <definedName name="új13" localSheetId="32">#REF!</definedName>
    <definedName name="új13" localSheetId="35">#REF!</definedName>
    <definedName name="új13" localSheetId="6">#REF!</definedName>
    <definedName name="új13" localSheetId="9">#REF!</definedName>
    <definedName name="új13" localSheetId="10">#REF!</definedName>
    <definedName name="új13">#REF!</definedName>
    <definedName name="új14" localSheetId="15">#REF!</definedName>
    <definedName name="új14" localSheetId="16">#REF!</definedName>
    <definedName name="új14" localSheetId="29">#REF!</definedName>
    <definedName name="új14" localSheetId="31">#REF!</definedName>
    <definedName name="új14" localSheetId="32">#REF!</definedName>
    <definedName name="új14" localSheetId="35">#REF!</definedName>
    <definedName name="új14" localSheetId="6">#REF!</definedName>
    <definedName name="új14" localSheetId="9">#REF!</definedName>
    <definedName name="új14" localSheetId="10">#REF!</definedName>
    <definedName name="új14">#REF!</definedName>
    <definedName name="új15" localSheetId="15">#REF!</definedName>
    <definedName name="új15" localSheetId="16">#REF!</definedName>
    <definedName name="új15" localSheetId="29">#REF!</definedName>
    <definedName name="új15" localSheetId="31">#REF!</definedName>
    <definedName name="új15" localSheetId="32">#REF!</definedName>
    <definedName name="új15" localSheetId="35">#REF!</definedName>
    <definedName name="új15" localSheetId="6">#REF!</definedName>
    <definedName name="új15" localSheetId="9">#REF!</definedName>
    <definedName name="új15" localSheetId="10">#REF!</definedName>
    <definedName name="új15">#REF!</definedName>
    <definedName name="új16" localSheetId="15">#REF!</definedName>
    <definedName name="új16" localSheetId="16">#REF!</definedName>
    <definedName name="új16" localSheetId="29">#REF!</definedName>
    <definedName name="új16" localSheetId="31">#REF!</definedName>
    <definedName name="új16" localSheetId="32">#REF!</definedName>
    <definedName name="új16" localSheetId="35">#REF!</definedName>
    <definedName name="új16" localSheetId="6">#REF!</definedName>
    <definedName name="új16" localSheetId="9">#REF!</definedName>
    <definedName name="új16" localSheetId="10">#REF!</definedName>
    <definedName name="új16">#REF!</definedName>
    <definedName name="új2" localSheetId="15">#REF!</definedName>
    <definedName name="új2" localSheetId="16">#REF!</definedName>
    <definedName name="új2" localSheetId="29">#REF!</definedName>
    <definedName name="új2" localSheetId="31">#REF!</definedName>
    <definedName name="új2" localSheetId="32">#REF!</definedName>
    <definedName name="új2" localSheetId="35">#REF!</definedName>
    <definedName name="új2" localSheetId="6">#REF!</definedName>
    <definedName name="új2" localSheetId="9">#REF!</definedName>
    <definedName name="új2" localSheetId="10">#REF!</definedName>
    <definedName name="új2">#REF!</definedName>
    <definedName name="új3" localSheetId="15">#REF!</definedName>
    <definedName name="új3" localSheetId="16">#REF!</definedName>
    <definedName name="új3" localSheetId="29">#REF!</definedName>
    <definedName name="új3" localSheetId="31">#REF!</definedName>
    <definedName name="új3" localSheetId="32">#REF!</definedName>
    <definedName name="új3" localSheetId="35">#REF!</definedName>
    <definedName name="új3" localSheetId="6">#REF!</definedName>
    <definedName name="új3" localSheetId="9">#REF!</definedName>
    <definedName name="új3" localSheetId="10">#REF!</definedName>
    <definedName name="új3">#REF!</definedName>
    <definedName name="új4" localSheetId="15">#REF!</definedName>
    <definedName name="új4" localSheetId="16">#REF!</definedName>
    <definedName name="új4" localSheetId="29">#REF!</definedName>
    <definedName name="új4" localSheetId="31">#REF!</definedName>
    <definedName name="új4" localSheetId="32">#REF!</definedName>
    <definedName name="új4" localSheetId="35">#REF!</definedName>
    <definedName name="új4" localSheetId="6">#REF!</definedName>
    <definedName name="új4" localSheetId="9">#REF!</definedName>
    <definedName name="új4" localSheetId="10">#REF!</definedName>
    <definedName name="új4">#REF!</definedName>
    <definedName name="új5" localSheetId="15">#REF!</definedName>
    <definedName name="új5" localSheetId="16">#REF!</definedName>
    <definedName name="új5" localSheetId="29">#REF!</definedName>
    <definedName name="új5" localSheetId="31">#REF!</definedName>
    <definedName name="új5" localSheetId="32">#REF!</definedName>
    <definedName name="új5" localSheetId="35">#REF!</definedName>
    <definedName name="új5" localSheetId="6">#REF!</definedName>
    <definedName name="új5" localSheetId="9">#REF!</definedName>
    <definedName name="új5" localSheetId="10">#REF!</definedName>
    <definedName name="új5">#REF!</definedName>
    <definedName name="új6" localSheetId="15">#REF!</definedName>
    <definedName name="új6" localSheetId="16">#REF!</definedName>
    <definedName name="új6" localSheetId="29">#REF!</definedName>
    <definedName name="új6" localSheetId="31">#REF!</definedName>
    <definedName name="új6" localSheetId="32">#REF!</definedName>
    <definedName name="új6" localSheetId="35">#REF!</definedName>
    <definedName name="új6" localSheetId="6">#REF!</definedName>
    <definedName name="új6" localSheetId="9">#REF!</definedName>
    <definedName name="új6" localSheetId="10">#REF!</definedName>
    <definedName name="új6">#REF!</definedName>
    <definedName name="új7" localSheetId="15">#REF!</definedName>
    <definedName name="új7" localSheetId="16">#REF!</definedName>
    <definedName name="új7" localSheetId="29">#REF!</definedName>
    <definedName name="új7" localSheetId="31">#REF!</definedName>
    <definedName name="új7" localSheetId="32">#REF!</definedName>
    <definedName name="új7" localSheetId="35">#REF!</definedName>
    <definedName name="új7" localSheetId="6">#REF!</definedName>
    <definedName name="új7" localSheetId="9">#REF!</definedName>
    <definedName name="új7" localSheetId="10">#REF!</definedName>
    <definedName name="új7">#REF!</definedName>
    <definedName name="új8" localSheetId="15">#REF!</definedName>
    <definedName name="új8" localSheetId="16">#REF!</definedName>
    <definedName name="új8" localSheetId="29">#REF!</definedName>
    <definedName name="új8" localSheetId="31">#REF!</definedName>
    <definedName name="új8" localSheetId="32">#REF!</definedName>
    <definedName name="új8" localSheetId="35">#REF!</definedName>
    <definedName name="új8" localSheetId="6">#REF!</definedName>
    <definedName name="új8" localSheetId="9">#REF!</definedName>
    <definedName name="új8" localSheetId="10">#REF!</definedName>
    <definedName name="új8">#REF!</definedName>
    <definedName name="új9" localSheetId="15">#REF!</definedName>
    <definedName name="új9" localSheetId="16">#REF!</definedName>
    <definedName name="új9" localSheetId="29">#REF!</definedName>
    <definedName name="új9" localSheetId="31">#REF!</definedName>
    <definedName name="új9" localSheetId="32">#REF!</definedName>
    <definedName name="új9" localSheetId="35">#REF!</definedName>
    <definedName name="új9" localSheetId="6">#REF!</definedName>
    <definedName name="új9" localSheetId="9">#REF!</definedName>
    <definedName name="új9" localSheetId="10">#REF!</definedName>
    <definedName name="új9">#REF!</definedName>
    <definedName name="ü" localSheetId="12">#REF!</definedName>
    <definedName name="ü" localSheetId="14">#REF!</definedName>
    <definedName name="ü" localSheetId="15">#REF!</definedName>
    <definedName name="ü" localSheetId="16">#REF!</definedName>
    <definedName name="ü" localSheetId="3">#REF!</definedName>
    <definedName name="ü" localSheetId="4">#REF!</definedName>
    <definedName name="ü" localSheetId="29">#REF!</definedName>
    <definedName name="ü" localSheetId="31">#REF!</definedName>
    <definedName name="ü" localSheetId="32">#REF!</definedName>
    <definedName name="ü" localSheetId="5">#REF!</definedName>
    <definedName name="ü" localSheetId="35">#REF!</definedName>
    <definedName name="ü" localSheetId="6">#REF!</definedName>
    <definedName name="ü" localSheetId="7">#REF!</definedName>
    <definedName name="ü" localSheetId="8">#REF!</definedName>
    <definedName name="ü" localSheetId="9">#REF!</definedName>
    <definedName name="ü" localSheetId="10">#REF!</definedName>
    <definedName name="ü" localSheetId="11">#REF!</definedName>
    <definedName name="ü">#REF!</definedName>
    <definedName name="w" localSheetId="15">#REF!</definedName>
    <definedName name="w" localSheetId="16">#REF!</definedName>
    <definedName name="w" localSheetId="29">#REF!</definedName>
    <definedName name="w" localSheetId="31">#REF!</definedName>
    <definedName name="w" localSheetId="32">#REF!</definedName>
    <definedName name="w" localSheetId="35">#REF!</definedName>
    <definedName name="w" localSheetId="6">#REF!</definedName>
    <definedName name="w" localSheetId="9">#REF!</definedName>
    <definedName name="w" localSheetId="10">#REF!</definedName>
    <definedName name="w">#REF!</definedName>
    <definedName name="X" localSheetId="12">#REF!</definedName>
    <definedName name="X" localSheetId="14">#REF!</definedName>
    <definedName name="X" localSheetId="15">#REF!</definedName>
    <definedName name="X" localSheetId="16">#REF!</definedName>
    <definedName name="X" localSheetId="3">#REF!</definedName>
    <definedName name="X" localSheetId="4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2">#REF!</definedName>
    <definedName name="X" localSheetId="5">#REF!</definedName>
    <definedName name="X" localSheetId="33">#REF!</definedName>
    <definedName name="X" localSheetId="3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">#N/A</definedName>
    <definedName name="X">#REF!</definedName>
    <definedName name="z" localSheetId="12">#REF!</definedName>
    <definedName name="z" localSheetId="14">#REF!</definedName>
    <definedName name="z" localSheetId="15">#REF!</definedName>
    <definedName name="z" localSheetId="16">#REF!</definedName>
    <definedName name="z" localSheetId="3">#REF!</definedName>
    <definedName name="z" localSheetId="4">#REF!</definedName>
    <definedName name="z" localSheetId="29">#REF!</definedName>
    <definedName name="z" localSheetId="31">#REF!</definedName>
    <definedName name="z" localSheetId="32">#REF!</definedName>
    <definedName name="z" localSheetId="5">#REF!</definedName>
    <definedName name="z" localSheetId="3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D13" i="87" l="1"/>
  <c r="O25" i="82" l="1"/>
  <c r="L20" i="82"/>
  <c r="H20" i="82"/>
  <c r="F20" i="82"/>
  <c r="E20" i="82"/>
  <c r="M20" i="82"/>
  <c r="K20" i="82"/>
  <c r="J20" i="82"/>
  <c r="I20" i="82"/>
  <c r="G20" i="82"/>
  <c r="D11" i="68" l="1"/>
  <c r="D48" i="104"/>
  <c r="D44" i="104"/>
  <c r="F11" i="68"/>
  <c r="E27" i="39"/>
  <c r="O15" i="82" l="1"/>
  <c r="Q15" i="82" s="1"/>
  <c r="E23" i="92"/>
  <c r="F39" i="40" l="1"/>
  <c r="A3" i="106" l="1"/>
  <c r="A4" i="88"/>
  <c r="A5" i="40"/>
  <c r="A3" i="117"/>
  <c r="A5" i="113"/>
  <c r="A4" i="98"/>
  <c r="J27" i="91"/>
  <c r="D29" i="91"/>
  <c r="D15" i="91"/>
  <c r="D11" i="91"/>
  <c r="D12" i="41" l="1"/>
  <c r="G33" i="92"/>
  <c r="D18" i="40" l="1"/>
  <c r="E11" i="92"/>
  <c r="E10" i="92"/>
  <c r="D15" i="48" l="1"/>
  <c r="D25" i="31"/>
  <c r="G30" i="92" l="1"/>
  <c r="B14" i="107" l="1"/>
  <c r="N27" i="82"/>
  <c r="O23" i="82"/>
  <c r="Q25" i="82"/>
  <c r="C17" i="82"/>
  <c r="P9" i="82"/>
  <c r="F9" i="82"/>
  <c r="G9" i="82" l="1"/>
  <c r="O21" i="82"/>
  <c r="Q21" i="82" s="1"/>
  <c r="J9" i="82" l="1"/>
  <c r="O22" i="82"/>
  <c r="Q22" i="82" s="1"/>
  <c r="K9" i="82" l="1"/>
  <c r="N9" i="82" s="1"/>
  <c r="O9" i="82"/>
  <c r="Q9" i="82" s="1"/>
  <c r="E13" i="39"/>
  <c r="C19" i="90"/>
  <c r="E14" i="23" l="1"/>
  <c r="D41" i="31" s="1"/>
  <c r="D36" i="104" s="1"/>
  <c r="F36" i="104" s="1"/>
  <c r="L41" i="31" l="1"/>
  <c r="L16" i="87" l="1"/>
  <c r="O19" i="45"/>
  <c r="P19" i="45"/>
  <c r="P21" i="45" l="1"/>
  <c r="H19" i="31" s="1"/>
  <c r="E26" i="92"/>
  <c r="E21" i="92"/>
  <c r="E28" i="117"/>
  <c r="D17" i="117"/>
  <c r="A1" i="117"/>
  <c r="A2" i="117"/>
  <c r="G28" i="117" l="1"/>
  <c r="F28" i="117"/>
  <c r="D28" i="117"/>
  <c r="G24" i="117"/>
  <c r="E24" i="117"/>
  <c r="D23" i="117"/>
  <c r="D24" i="117" s="1"/>
  <c r="F22" i="117"/>
  <c r="F24" i="117" s="1"/>
  <c r="G21" i="117"/>
  <c r="E21" i="117"/>
  <c r="D19" i="117"/>
  <c r="D18" i="117"/>
  <c r="F17" i="117"/>
  <c r="D16" i="117"/>
  <c r="F15" i="117"/>
  <c r="D15" i="117"/>
  <c r="G14" i="117"/>
  <c r="E14" i="117"/>
  <c r="F13" i="117"/>
  <c r="D13" i="117"/>
  <c r="D14" i="117" s="1"/>
  <c r="F14" i="117"/>
  <c r="G11" i="117"/>
  <c r="E11" i="117"/>
  <c r="D11" i="117"/>
  <c r="F8" i="117"/>
  <c r="G7" i="117"/>
  <c r="F7" i="117"/>
  <c r="E7" i="117"/>
  <c r="D7" i="117"/>
  <c r="D21" i="117" l="1"/>
  <c r="D29" i="117" s="1"/>
  <c r="D9" i="92" s="1"/>
  <c r="F21" i="117"/>
  <c r="F11" i="117"/>
  <c r="E29" i="117"/>
  <c r="E9" i="92" s="1"/>
  <c r="G29" i="117"/>
  <c r="G9" i="92" s="1"/>
  <c r="F29" i="117" l="1"/>
  <c r="F9" i="92" s="1"/>
  <c r="C31" i="90" l="1"/>
  <c r="D40" i="31"/>
  <c r="D42" i="31" s="1"/>
  <c r="P46" i="45" l="1"/>
  <c r="H20" i="45" l="1"/>
  <c r="G20" i="45"/>
  <c r="E10" i="87" l="1"/>
  <c r="D17" i="98" l="1"/>
  <c r="D16" i="98"/>
  <c r="D21" i="98" s="1"/>
  <c r="D10" i="98"/>
  <c r="D9" i="98"/>
  <c r="N24" i="45"/>
  <c r="M24" i="45"/>
  <c r="M27" i="45" s="1"/>
  <c r="P10" i="45"/>
  <c r="F20" i="45"/>
  <c r="D17" i="41" l="1"/>
  <c r="D14" i="23"/>
  <c r="I27" i="91" l="1"/>
  <c r="I16" i="91"/>
  <c r="C29" i="91"/>
  <c r="C15" i="91"/>
  <c r="C11" i="91"/>
  <c r="E24" i="6"/>
  <c r="C47" i="90" l="1"/>
  <c r="C56" i="90" s="1"/>
  <c r="C58" i="90" s="1"/>
  <c r="A4" i="90"/>
  <c r="D14" i="90" l="1"/>
  <c r="D57" i="90"/>
  <c r="E14" i="18"/>
  <c r="F13" i="18"/>
  <c r="E13" i="18"/>
  <c r="C40" i="31" l="1"/>
  <c r="C42" i="31" s="1"/>
  <c r="G48" i="113" l="1"/>
  <c r="C45" i="113"/>
  <c r="E45" i="113" s="1"/>
  <c r="E43" i="113"/>
  <c r="E42" i="113"/>
  <c r="E41" i="113"/>
  <c r="E40" i="113"/>
  <c r="E39" i="113"/>
  <c r="E38" i="113"/>
  <c r="E46" i="113" s="1"/>
  <c r="C30" i="113"/>
  <c r="E30" i="113" s="1"/>
  <c r="E31" i="113" s="1"/>
  <c r="C25" i="113"/>
  <c r="E25" i="113" s="1"/>
  <c r="E23" i="113"/>
  <c r="E22" i="113"/>
  <c r="F45" i="113" s="1"/>
  <c r="C17" i="113"/>
  <c r="E17" i="113" s="1"/>
  <c r="E16" i="113"/>
  <c r="E15" i="113"/>
  <c r="E14" i="113"/>
  <c r="E13" i="113"/>
  <c r="E12" i="113"/>
  <c r="E11" i="113"/>
  <c r="E10" i="113"/>
  <c r="F53" i="113" l="1"/>
  <c r="E18" i="113"/>
  <c r="E26" i="113"/>
  <c r="D22" i="41" l="1"/>
  <c r="E34" i="6" l="1"/>
  <c r="G33" i="6" l="1"/>
  <c r="E25" i="48" l="1"/>
  <c r="O26" i="82"/>
  <c r="P26" i="82" s="1"/>
  <c r="O24" i="82"/>
  <c r="Q24" i="82" s="1"/>
  <c r="O16" i="82"/>
  <c r="O14" i="82"/>
  <c r="O13" i="82"/>
  <c r="D12" i="82"/>
  <c r="E12" i="82" s="1"/>
  <c r="F12" i="82" s="1"/>
  <c r="G12" i="82" s="1"/>
  <c r="H12" i="82" s="1"/>
  <c r="I12" i="82" s="1"/>
  <c r="J12" i="82" s="1"/>
  <c r="K12" i="82" s="1"/>
  <c r="L12" i="82" s="1"/>
  <c r="M12" i="82" s="1"/>
  <c r="N12" i="82" s="1"/>
  <c r="D11" i="82"/>
  <c r="D20" i="106"/>
  <c r="E20" i="106" s="1"/>
  <c r="F20" i="106" s="1"/>
  <c r="D21" i="106"/>
  <c r="E21" i="106" s="1"/>
  <c r="F21" i="106" s="1"/>
  <c r="F36" i="106"/>
  <c r="E42" i="106"/>
  <c r="F42" i="106" s="1"/>
  <c r="D44" i="106"/>
  <c r="E44" i="106" s="1"/>
  <c r="F44" i="106" s="1"/>
  <c r="D46" i="106"/>
  <c r="E46" i="106" s="1"/>
  <c r="F46" i="106" s="1"/>
  <c r="D47" i="106"/>
  <c r="E47" i="106" s="1"/>
  <c r="F47" i="106" s="1"/>
  <c r="E11" i="82" l="1"/>
  <c r="E17" i="82" s="1"/>
  <c r="D17" i="82"/>
  <c r="C27" i="82"/>
  <c r="D20" i="82"/>
  <c r="E27" i="82" s="1"/>
  <c r="O12" i="82"/>
  <c r="F11" i="82" l="1"/>
  <c r="G11" i="82" s="1"/>
  <c r="F17" i="82"/>
  <c r="C29" i="82"/>
  <c r="D27" i="82"/>
  <c r="F27" i="82"/>
  <c r="E29" i="82"/>
  <c r="G17" i="82" l="1"/>
  <c r="H11" i="82"/>
  <c r="H17" i="82" s="1"/>
  <c r="F29" i="82"/>
  <c r="G27" i="82"/>
  <c r="G29" i="82" s="1"/>
  <c r="I11" i="82" l="1"/>
  <c r="J11" i="82"/>
  <c r="I17" i="82"/>
  <c r="H27" i="82"/>
  <c r="H29" i="82" s="1"/>
  <c r="K11" i="82" l="1"/>
  <c r="J17" i="82"/>
  <c r="I27" i="82"/>
  <c r="I29" i="82" s="1"/>
  <c r="L10" i="82"/>
  <c r="O10" i="82" l="1"/>
  <c r="K17" i="82"/>
  <c r="L11" i="82"/>
  <c r="M10" i="82"/>
  <c r="J27" i="82"/>
  <c r="J29" i="82" s="1"/>
  <c r="L17" i="82" l="1"/>
  <c r="K27" i="82"/>
  <c r="K29" i="82" s="1"/>
  <c r="N17" i="82" l="1"/>
  <c r="O11" i="82"/>
  <c r="M17" i="82"/>
  <c r="L27" i="82"/>
  <c r="L29" i="82" s="1"/>
  <c r="O17" i="82" l="1"/>
  <c r="M27" i="82"/>
  <c r="M29" i="82" s="1"/>
  <c r="N29" i="82" l="1"/>
  <c r="O20" i="82"/>
  <c r="O27" i="82" s="1"/>
  <c r="Q14" i="82" l="1"/>
  <c r="Q13" i="82"/>
  <c r="Q26" i="82"/>
  <c r="D29" i="82" l="1"/>
  <c r="O29" i="82"/>
  <c r="Q16" i="82"/>
  <c r="Q11" i="82"/>
  <c r="Q12" i="82"/>
  <c r="Q23" i="82" l="1"/>
  <c r="Q17" i="82" l="1"/>
  <c r="Q10" i="82"/>
  <c r="Q20" i="82" l="1"/>
  <c r="C28" i="31"/>
  <c r="C25" i="31"/>
  <c r="D28" i="23"/>
  <c r="C32" i="68"/>
  <c r="C31" i="68"/>
  <c r="C29" i="68"/>
  <c r="C28" i="68"/>
  <c r="C11" i="68"/>
  <c r="E19" i="68"/>
  <c r="E11" i="68"/>
  <c r="D52" i="98"/>
  <c r="D51" i="98"/>
  <c r="D44" i="98"/>
  <c r="D43" i="98"/>
  <c r="F32" i="98"/>
  <c r="D34" i="98"/>
  <c r="D33" i="98"/>
  <c r="C34" i="98"/>
  <c r="C33" i="98"/>
  <c r="C35" i="98" s="1"/>
  <c r="E28" i="98"/>
  <c r="D28" i="98"/>
  <c r="D27" i="98"/>
  <c r="C56" i="98"/>
  <c r="C53" i="98"/>
  <c r="C52" i="98"/>
  <c r="C51" i="98"/>
  <c r="C44" i="98"/>
  <c r="C43" i="98"/>
  <c r="C26" i="98"/>
  <c r="C23" i="98"/>
  <c r="C20" i="98"/>
  <c r="C19" i="98"/>
  <c r="C17" i="98"/>
  <c r="C16" i="98"/>
  <c r="C15" i="98"/>
  <c r="C10" i="98"/>
  <c r="C9" i="98"/>
  <c r="D23" i="109"/>
  <c r="K39" i="45"/>
  <c r="K32" i="45"/>
  <c r="L13" i="45"/>
  <c r="I39" i="45"/>
  <c r="G39" i="45"/>
  <c r="G13" i="45"/>
  <c r="G24" i="45" s="1"/>
  <c r="K16" i="87"/>
  <c r="F34" i="98" l="1"/>
  <c r="D29" i="98"/>
  <c r="F33" i="98"/>
  <c r="D35" i="98"/>
  <c r="F35" i="98" s="1"/>
  <c r="C30" i="68"/>
  <c r="Q27" i="82"/>
  <c r="R20" i="87" l="1"/>
  <c r="R19" i="87"/>
  <c r="R16" i="87"/>
  <c r="R15" i="87"/>
  <c r="R14" i="87"/>
  <c r="R12" i="87"/>
  <c r="R11" i="87"/>
  <c r="R10" i="87"/>
  <c r="R9" i="87"/>
  <c r="R8" i="87"/>
  <c r="Q20" i="87"/>
  <c r="Q19" i="87"/>
  <c r="Q16" i="87"/>
  <c r="Q14" i="87"/>
  <c r="Q12" i="87"/>
  <c r="O20" i="87"/>
  <c r="O19" i="87"/>
  <c r="O16" i="87"/>
  <c r="O15" i="87"/>
  <c r="O14" i="87"/>
  <c r="O12" i="87"/>
  <c r="O11" i="87"/>
  <c r="O10" i="87"/>
  <c r="O9" i="87"/>
  <c r="O8" i="87"/>
  <c r="N20" i="87"/>
  <c r="N19" i="87"/>
  <c r="N14" i="87"/>
  <c r="N12" i="87"/>
  <c r="N16" i="87"/>
  <c r="D15" i="87"/>
  <c r="N15" i="87" s="1"/>
  <c r="P51" i="45"/>
  <c r="P50" i="45"/>
  <c r="P49" i="45"/>
  <c r="P37" i="45"/>
  <c r="P38" i="45"/>
  <c r="P40" i="45"/>
  <c r="P41" i="45"/>
  <c r="P42" i="45"/>
  <c r="P43" i="45"/>
  <c r="P44" i="45"/>
  <c r="P45" i="45"/>
  <c r="P47" i="45"/>
  <c r="P36" i="45"/>
  <c r="P17" i="45"/>
  <c r="P18" i="45"/>
  <c r="P22" i="45"/>
  <c r="P23" i="45"/>
  <c r="P11" i="45"/>
  <c r="P12" i="45"/>
  <c r="P14" i="45"/>
  <c r="P15" i="45"/>
  <c r="P16" i="45"/>
  <c r="O51" i="45"/>
  <c r="O50" i="45"/>
  <c r="O49" i="45"/>
  <c r="O47" i="45"/>
  <c r="O45" i="45"/>
  <c r="O44" i="45"/>
  <c r="O43" i="45"/>
  <c r="O42" i="45"/>
  <c r="O41" i="45"/>
  <c r="O40" i="45"/>
  <c r="O38" i="45"/>
  <c r="O36" i="45"/>
  <c r="O23" i="45"/>
  <c r="O22" i="45"/>
  <c r="O21" i="45"/>
  <c r="G19" i="31" s="1"/>
  <c r="O18" i="45"/>
  <c r="O17" i="45"/>
  <c r="O16" i="45"/>
  <c r="O15" i="45"/>
  <c r="O14" i="45"/>
  <c r="O12" i="45"/>
  <c r="O11" i="45"/>
  <c r="O10" i="45"/>
  <c r="N52" i="45"/>
  <c r="N29" i="45" s="1"/>
  <c r="D31" i="98" s="1"/>
  <c r="M52" i="45"/>
  <c r="M29" i="45" s="1"/>
  <c r="C31" i="98" s="1"/>
  <c r="N39" i="45"/>
  <c r="D42" i="98" s="1"/>
  <c r="M39" i="45"/>
  <c r="C42" i="98" s="1"/>
  <c r="N32" i="45"/>
  <c r="M32" i="45"/>
  <c r="N27" i="45"/>
  <c r="K32" i="68"/>
  <c r="K31" i="68"/>
  <c r="K30" i="68"/>
  <c r="K29" i="68"/>
  <c r="K28" i="68"/>
  <c r="I32" i="68"/>
  <c r="I31" i="68"/>
  <c r="I30" i="68"/>
  <c r="I29" i="68"/>
  <c r="I28" i="68"/>
  <c r="I28" i="31"/>
  <c r="L36" i="31"/>
  <c r="L26" i="31"/>
  <c r="K36" i="31"/>
  <c r="J36" i="31"/>
  <c r="J26" i="31"/>
  <c r="I36" i="31"/>
  <c r="F47" i="6"/>
  <c r="F39" i="6"/>
  <c r="D18" i="6"/>
  <c r="M48" i="45" l="1"/>
  <c r="Q15" i="87"/>
  <c r="N48" i="45"/>
  <c r="N28" i="45" s="1"/>
  <c r="F34" i="6"/>
  <c r="F32" i="6"/>
  <c r="D34" i="6"/>
  <c r="D26" i="6"/>
  <c r="D25" i="6"/>
  <c r="D24" i="6"/>
  <c r="D22" i="6"/>
  <c r="D10" i="6"/>
  <c r="D13" i="6" s="1"/>
  <c r="D11" i="23"/>
  <c r="C10" i="41"/>
  <c r="M53" i="45" l="1"/>
  <c r="M33" i="45" s="1"/>
  <c r="M28" i="45"/>
  <c r="C30" i="98" s="1"/>
  <c r="D30" i="98"/>
  <c r="N53" i="45"/>
  <c r="N33" i="45" s="1"/>
  <c r="D17" i="23"/>
  <c r="D31" i="39"/>
  <c r="D30" i="39"/>
  <c r="D27" i="39"/>
  <c r="D26" i="39"/>
  <c r="D14" i="39"/>
  <c r="D11" i="39"/>
  <c r="C17" i="41"/>
  <c r="C16" i="41"/>
  <c r="C15" i="41"/>
  <c r="C14" i="41"/>
  <c r="C12" i="41"/>
  <c r="C11" i="41"/>
  <c r="C30" i="40"/>
  <c r="C26" i="40"/>
  <c r="E25" i="40"/>
  <c r="C25" i="40"/>
  <c r="C15" i="40"/>
  <c r="C13" i="40"/>
  <c r="C11" i="40"/>
  <c r="C12" i="88"/>
  <c r="C11" i="88"/>
  <c r="C36" i="98" l="1"/>
  <c r="M34" i="45"/>
  <c r="M35" i="45" s="1"/>
  <c r="N34" i="45"/>
  <c r="N35" i="45" s="1"/>
  <c r="D36" i="98"/>
  <c r="A1" i="40"/>
  <c r="F36" i="98" l="1"/>
  <c r="G29" i="18"/>
  <c r="J25" i="31" l="1"/>
  <c r="L25" i="31"/>
  <c r="C12" i="107"/>
  <c r="B12" i="107" s="1"/>
  <c r="C16" i="107" l="1"/>
  <c r="E18" i="6"/>
  <c r="D15" i="31" s="1"/>
  <c r="B11" i="114" l="1"/>
  <c r="B18" i="114"/>
  <c r="B30" i="114"/>
  <c r="I9" i="96"/>
  <c r="C22" i="40" l="1"/>
  <c r="D22" i="40"/>
  <c r="C14" i="40" l="1"/>
  <c r="D14" i="40"/>
  <c r="G35" i="101"/>
  <c r="G36" i="101"/>
  <c r="G37" i="101"/>
  <c r="G34" i="101"/>
  <c r="G10" i="101"/>
  <c r="G11" i="101"/>
  <c r="G12" i="101"/>
  <c r="G13" i="101"/>
  <c r="G14" i="101"/>
  <c r="G15" i="101"/>
  <c r="G16" i="101"/>
  <c r="G19" i="101"/>
  <c r="G20" i="101"/>
  <c r="G21" i="101"/>
  <c r="G22" i="101"/>
  <c r="G24" i="101"/>
  <c r="G25" i="101"/>
  <c r="G26" i="101"/>
  <c r="G27" i="101"/>
  <c r="G28" i="101"/>
  <c r="G9" i="101"/>
  <c r="F52" i="97"/>
  <c r="F53" i="97"/>
  <c r="F54" i="97"/>
  <c r="F64" i="97"/>
  <c r="F65" i="97"/>
  <c r="D49" i="97"/>
  <c r="F49" i="97" s="1"/>
  <c r="D50" i="97"/>
  <c r="F50" i="97" s="1"/>
  <c r="D51" i="97"/>
  <c r="F51" i="97" s="1"/>
  <c r="D58" i="97"/>
  <c r="F58" i="97" s="1"/>
  <c r="D59" i="97"/>
  <c r="F59" i="97" s="1"/>
  <c r="D66" i="97"/>
  <c r="C59" i="97"/>
  <c r="C58" i="97"/>
  <c r="C50" i="97"/>
  <c r="C51" i="97"/>
  <c r="C49" i="97"/>
  <c r="C46" i="97"/>
  <c r="E47" i="97"/>
  <c r="D46" i="97"/>
  <c r="F46" i="97" s="1"/>
  <c r="D37" i="97"/>
  <c r="C37" i="97"/>
  <c r="D28" i="97"/>
  <c r="F28" i="97" s="1"/>
  <c r="D29" i="97"/>
  <c r="F29" i="97" s="1"/>
  <c r="C29" i="97"/>
  <c r="C28" i="97"/>
  <c r="C15" i="97"/>
  <c r="C30" i="97" l="1"/>
  <c r="C60" i="97"/>
  <c r="D38" i="97"/>
  <c r="D60" i="97"/>
  <c r="F37" i="97"/>
  <c r="C38" i="97"/>
  <c r="D30" i="97"/>
  <c r="D45" i="104" l="1"/>
  <c r="D47" i="104" s="1"/>
  <c r="D54" i="104"/>
  <c r="D55" i="104"/>
  <c r="C55" i="104"/>
  <c r="C54" i="104"/>
  <c r="C48" i="104"/>
  <c r="C45" i="104"/>
  <c r="C47" i="104" s="1"/>
  <c r="D14" i="88" l="1"/>
  <c r="D37" i="31" l="1"/>
  <c r="J37" i="31" l="1"/>
  <c r="L37" i="31"/>
  <c r="E14" i="88"/>
  <c r="E17" i="88" s="1"/>
  <c r="E22" i="68" s="1"/>
  <c r="F14" i="88"/>
  <c r="F17" i="88" s="1"/>
  <c r="G13" i="23"/>
  <c r="O28" i="87" l="1"/>
  <c r="O29" i="87"/>
  <c r="D56" i="104" l="1"/>
  <c r="G15" i="48" l="1"/>
  <c r="E38" i="39" l="1"/>
  <c r="D24" i="68" s="1"/>
  <c r="D38" i="39"/>
  <c r="C24" i="68" s="1"/>
  <c r="K24" i="68" l="1"/>
  <c r="I24" i="68"/>
  <c r="L24" i="68"/>
  <c r="J24" i="68"/>
  <c r="C24" i="40"/>
  <c r="E19" i="97" l="1"/>
  <c r="D54" i="103" l="1"/>
  <c r="D46" i="103"/>
  <c r="D45" i="103"/>
  <c r="D44" i="103"/>
  <c r="D46" i="102"/>
  <c r="C45" i="101"/>
  <c r="C46" i="101"/>
  <c r="D46" i="101"/>
  <c r="D45" i="101"/>
  <c r="C46" i="109"/>
  <c r="D46" i="109"/>
  <c r="C46" i="108"/>
  <c r="D46" i="108"/>
  <c r="F33" i="40" l="1"/>
  <c r="C45" i="97" l="1"/>
  <c r="D45" i="97" l="1"/>
  <c r="F45" i="97" s="1"/>
  <c r="C22" i="41"/>
  <c r="D32" i="39" s="1"/>
  <c r="C25" i="41" l="1"/>
  <c r="C56" i="104"/>
  <c r="E35" i="40"/>
  <c r="F35" i="40"/>
  <c r="C35" i="40"/>
  <c r="D35" i="40"/>
  <c r="D33" i="40" l="1"/>
  <c r="E33" i="40"/>
  <c r="C33" i="40"/>
  <c r="C14" i="88" l="1"/>
  <c r="E33" i="6" l="1"/>
  <c r="I25" i="31" l="1"/>
  <c r="K25" i="31"/>
  <c r="I26" i="31"/>
  <c r="K26" i="31"/>
  <c r="D34" i="92" l="1"/>
  <c r="C13" i="68" s="1"/>
  <c r="D13" i="39" l="1"/>
  <c r="C15" i="68" s="1"/>
  <c r="K15" i="68" l="1"/>
  <c r="I15" i="68"/>
  <c r="D11" i="114"/>
  <c r="M4" i="18" l="1"/>
  <c r="H14" i="18" s="1"/>
  <c r="E16" i="102"/>
  <c r="E11" i="38"/>
  <c r="G14" i="18" l="1"/>
  <c r="D62" i="98"/>
  <c r="E62" i="98"/>
  <c r="D57" i="98"/>
  <c r="E57" i="98"/>
  <c r="D58" i="98"/>
  <c r="E58" i="98"/>
  <c r="E31" i="98" s="1"/>
  <c r="F43" i="98"/>
  <c r="F44" i="98"/>
  <c r="F45" i="98"/>
  <c r="F46" i="98"/>
  <c r="F47" i="98"/>
  <c r="F48" i="98"/>
  <c r="F49" i="98"/>
  <c r="F50" i="98"/>
  <c r="F51" i="98"/>
  <c r="F52" i="98"/>
  <c r="F53" i="98"/>
  <c r="F54" i="98"/>
  <c r="F55" i="98"/>
  <c r="F56" i="98"/>
  <c r="F60" i="98"/>
  <c r="F61" i="98"/>
  <c r="F42" i="98"/>
  <c r="E37" i="98"/>
  <c r="E15" i="98"/>
  <c r="F16" i="98"/>
  <c r="F17" i="98"/>
  <c r="F19" i="98"/>
  <c r="E39" i="101"/>
  <c r="F39" i="101"/>
  <c r="D30" i="101"/>
  <c r="E30" i="101"/>
  <c r="F30" i="101"/>
  <c r="G30" i="101"/>
  <c r="E23" i="101"/>
  <c r="E29" i="101" s="1"/>
  <c r="F23" i="101"/>
  <c r="F29" i="101" s="1"/>
  <c r="D64" i="101"/>
  <c r="E64" i="101"/>
  <c r="F64" i="101"/>
  <c r="E59" i="101"/>
  <c r="F59" i="101"/>
  <c r="E60" i="101"/>
  <c r="F60" i="101"/>
  <c r="F33" i="101" s="1"/>
  <c r="G45" i="101"/>
  <c r="G46" i="101"/>
  <c r="G47" i="101"/>
  <c r="G48" i="101"/>
  <c r="G49" i="101"/>
  <c r="G50" i="101"/>
  <c r="G51" i="101"/>
  <c r="G52" i="101"/>
  <c r="G53" i="101"/>
  <c r="G55" i="101"/>
  <c r="G56" i="101"/>
  <c r="G57" i="101"/>
  <c r="G58" i="101"/>
  <c r="G62" i="101"/>
  <c r="G63" i="101"/>
  <c r="D64" i="103"/>
  <c r="E64" i="103"/>
  <c r="D59" i="103"/>
  <c r="E59" i="103"/>
  <c r="D60" i="103"/>
  <c r="E60" i="103"/>
  <c r="F46" i="103"/>
  <c r="F47" i="103"/>
  <c r="F48" i="103"/>
  <c r="F49" i="103"/>
  <c r="F50" i="103"/>
  <c r="F51" i="103"/>
  <c r="F52" i="103"/>
  <c r="F53" i="103"/>
  <c r="F54" i="103"/>
  <c r="F55" i="103"/>
  <c r="F56" i="103"/>
  <c r="F57" i="103"/>
  <c r="F58" i="103"/>
  <c r="F62" i="103"/>
  <c r="F63" i="103"/>
  <c r="E39" i="103"/>
  <c r="F35" i="103"/>
  <c r="F36" i="103"/>
  <c r="F37" i="103"/>
  <c r="F34" i="103"/>
  <c r="E29" i="103"/>
  <c r="D30" i="103"/>
  <c r="E30" i="103"/>
  <c r="F10" i="103"/>
  <c r="F11" i="103"/>
  <c r="F12" i="103"/>
  <c r="F13" i="103"/>
  <c r="F14" i="103"/>
  <c r="F15" i="103"/>
  <c r="F16" i="103"/>
  <c r="F17" i="103"/>
  <c r="F18" i="103"/>
  <c r="F19" i="103"/>
  <c r="F20" i="103"/>
  <c r="F22" i="103"/>
  <c r="F24" i="103"/>
  <c r="F25" i="103"/>
  <c r="F26" i="103"/>
  <c r="F27" i="103"/>
  <c r="F28" i="103"/>
  <c r="F9" i="103"/>
  <c r="E11" i="102"/>
  <c r="F46" i="102"/>
  <c r="F47" i="102"/>
  <c r="F48" i="102"/>
  <c r="F49" i="102"/>
  <c r="F50" i="102"/>
  <c r="F51" i="102"/>
  <c r="F52" i="102"/>
  <c r="F53" i="102"/>
  <c r="F55" i="102"/>
  <c r="F56" i="102"/>
  <c r="F57" i="102"/>
  <c r="F58" i="102"/>
  <c r="F9" i="102"/>
  <c r="F46" i="109"/>
  <c r="F47" i="109"/>
  <c r="F48" i="109"/>
  <c r="F49" i="109"/>
  <c r="F50" i="109"/>
  <c r="F51" i="109"/>
  <c r="F52" i="109"/>
  <c r="F53" i="109"/>
  <c r="F55" i="109"/>
  <c r="F56" i="109"/>
  <c r="F57" i="109"/>
  <c r="F58" i="109"/>
  <c r="F64" i="109"/>
  <c r="F27" i="109"/>
  <c r="F9" i="109"/>
  <c r="F26" i="109"/>
  <c r="F28" i="109"/>
  <c r="F46" i="108"/>
  <c r="F47" i="108"/>
  <c r="F48" i="108"/>
  <c r="F49" i="108"/>
  <c r="F50" i="108"/>
  <c r="F51" i="108"/>
  <c r="F52" i="108"/>
  <c r="F53" i="108"/>
  <c r="F55" i="108"/>
  <c r="F56" i="108"/>
  <c r="F57" i="108"/>
  <c r="F58" i="108"/>
  <c r="D23" i="108"/>
  <c r="E23" i="108"/>
  <c r="F9" i="108"/>
  <c r="F18" i="108"/>
  <c r="E61" i="103" l="1"/>
  <c r="E33" i="101"/>
  <c r="E33" i="103"/>
  <c r="F30" i="103"/>
  <c r="E32" i="103"/>
  <c r="F60" i="103"/>
  <c r="G64" i="101"/>
  <c r="F62" i="98"/>
  <c r="F64" i="103"/>
  <c r="E31" i="103"/>
  <c r="E40" i="103" s="1"/>
  <c r="F32" i="101"/>
  <c r="F58" i="98"/>
  <c r="E59" i="98"/>
  <c r="E63" i="98" s="1"/>
  <c r="E61" i="101"/>
  <c r="E65" i="101" s="1"/>
  <c r="D59" i="98"/>
  <c r="D63" i="98" s="1"/>
  <c r="F57" i="98"/>
  <c r="E65" i="103"/>
  <c r="C21" i="98"/>
  <c r="C27" i="98" s="1"/>
  <c r="D61" i="103"/>
  <c r="D65" i="103" s="1"/>
  <c r="F61" i="101"/>
  <c r="F65" i="101" s="1"/>
  <c r="F31" i="101"/>
  <c r="F40" i="101" s="1"/>
  <c r="E32" i="101"/>
  <c r="E31" i="101"/>
  <c r="E40" i="101" s="1"/>
  <c r="C44" i="101"/>
  <c r="C18" i="101"/>
  <c r="E37" i="108"/>
  <c r="F37" i="108" s="1"/>
  <c r="E36" i="108"/>
  <c r="F36" i="108" s="1"/>
  <c r="E35" i="108"/>
  <c r="F35" i="108" s="1"/>
  <c r="E34" i="108"/>
  <c r="F34" i="108" s="1"/>
  <c r="E37" i="109"/>
  <c r="F37" i="109" s="1"/>
  <c r="E36" i="109"/>
  <c r="F36" i="109" s="1"/>
  <c r="E35" i="109"/>
  <c r="F35" i="109" s="1"/>
  <c r="E34" i="109"/>
  <c r="E37" i="102"/>
  <c r="E36" i="102"/>
  <c r="E35" i="102"/>
  <c r="E34" i="102"/>
  <c r="E39" i="45"/>
  <c r="C44" i="109" s="1"/>
  <c r="F25" i="109"/>
  <c r="F24" i="109"/>
  <c r="F22" i="109"/>
  <c r="F21" i="109"/>
  <c r="F20" i="109"/>
  <c r="F19" i="109"/>
  <c r="F16" i="109"/>
  <c r="F15" i="109"/>
  <c r="F14" i="109"/>
  <c r="F13" i="109"/>
  <c r="F12" i="109"/>
  <c r="F10" i="109"/>
  <c r="E13" i="102"/>
  <c r="E20" i="45"/>
  <c r="C18" i="109" s="1"/>
  <c r="E13" i="45"/>
  <c r="E24" i="45" s="1"/>
  <c r="C45" i="108"/>
  <c r="C45" i="109"/>
  <c r="C46" i="102"/>
  <c r="C45" i="102"/>
  <c r="C46" i="103"/>
  <c r="C45" i="103"/>
  <c r="C52" i="45"/>
  <c r="C39" i="45"/>
  <c r="C30" i="108"/>
  <c r="C30" i="109"/>
  <c r="C30" i="101"/>
  <c r="C30" i="102"/>
  <c r="C29" i="102"/>
  <c r="C30" i="103"/>
  <c r="C32" i="45"/>
  <c r="C21" i="103"/>
  <c r="C20" i="45"/>
  <c r="C13" i="45"/>
  <c r="G21" i="38"/>
  <c r="F21" i="38"/>
  <c r="D21" i="38"/>
  <c r="E21" i="38"/>
  <c r="E22" i="38" s="1"/>
  <c r="F59" i="98" l="1"/>
  <c r="F63" i="98" s="1"/>
  <c r="G63" i="98" s="1"/>
  <c r="C48" i="45"/>
  <c r="C53" i="45" s="1"/>
  <c r="C18" i="108"/>
  <c r="C24" i="45"/>
  <c r="F11" i="109"/>
  <c r="F34" i="102"/>
  <c r="E39" i="102"/>
  <c r="F34" i="109"/>
  <c r="E39" i="109"/>
  <c r="C17" i="101"/>
  <c r="C23" i="101" s="1"/>
  <c r="C31" i="102"/>
  <c r="C44" i="108"/>
  <c r="D33" i="6" l="1"/>
  <c r="G18" i="6"/>
  <c r="F18" i="6"/>
  <c r="F46" i="104" l="1"/>
  <c r="D13" i="90" l="1"/>
  <c r="D15" i="90"/>
  <c r="D16" i="90"/>
  <c r="D17" i="90"/>
  <c r="D18" i="90"/>
  <c r="D12" i="90"/>
  <c r="F17" i="39" l="1"/>
  <c r="F15" i="39"/>
  <c r="L13" i="87"/>
  <c r="D30" i="114" l="1"/>
  <c r="C30" i="114"/>
  <c r="F29" i="114"/>
  <c r="F28" i="114"/>
  <c r="F27" i="114"/>
  <c r="F26" i="114"/>
  <c r="F22" i="114"/>
  <c r="D18" i="114"/>
  <c r="F17" i="114"/>
  <c r="F16" i="114"/>
  <c r="C15" i="114"/>
  <c r="F15" i="114" s="1"/>
  <c r="C14" i="114"/>
  <c r="C11" i="114"/>
  <c r="F10" i="114"/>
  <c r="F9" i="114"/>
  <c r="F8" i="114"/>
  <c r="F11" i="114" l="1"/>
  <c r="F30" i="114"/>
  <c r="C18" i="114"/>
  <c r="F18" i="114" s="1"/>
  <c r="E22" i="40" l="1"/>
  <c r="F22" i="40"/>
  <c r="G13" i="87" l="1"/>
  <c r="H13" i="87"/>
  <c r="G13" i="6"/>
  <c r="E14" i="70" l="1"/>
  <c r="G14" i="70" s="1"/>
  <c r="G12" i="98"/>
  <c r="N13" i="70"/>
  <c r="N11" i="98"/>
  <c r="N14" i="39"/>
  <c r="M13" i="18"/>
  <c r="N14" i="48"/>
  <c r="N13" i="91"/>
  <c r="M13" i="96"/>
  <c r="G13" i="70"/>
  <c r="G11" i="98"/>
  <c r="G14" i="39"/>
  <c r="S13" i="23" l="1"/>
  <c r="D24" i="40" l="1"/>
  <c r="E24" i="40"/>
  <c r="F24" i="40"/>
  <c r="D20" i="45" l="1"/>
  <c r="H31" i="23" l="1"/>
  <c r="C39" i="31" l="1"/>
  <c r="K39" i="31" s="1"/>
  <c r="F41" i="6"/>
  <c r="C34" i="104" l="1"/>
  <c r="I39" i="31"/>
  <c r="B29" i="48"/>
  <c r="E38" i="48" l="1"/>
  <c r="C37" i="40" l="1"/>
  <c r="C21" i="68" s="1"/>
  <c r="D36" i="39"/>
  <c r="D29" i="39"/>
  <c r="C17" i="68" s="1"/>
  <c r="F18" i="39"/>
  <c r="F46" i="6"/>
  <c r="F38" i="6"/>
  <c r="F23" i="6"/>
  <c r="F13" i="6"/>
  <c r="F9" i="6"/>
  <c r="D46" i="6"/>
  <c r="D41" i="6"/>
  <c r="D38" i="6"/>
  <c r="D23" i="6"/>
  <c r="D9" i="6"/>
  <c r="D19" i="6" s="1"/>
  <c r="O37" i="45"/>
  <c r="L20" i="45"/>
  <c r="K20" i="45"/>
  <c r="J20" i="45"/>
  <c r="O20" i="45" l="1"/>
  <c r="D39" i="39"/>
  <c r="C23" i="68"/>
  <c r="K17" i="68"/>
  <c r="I17" i="68"/>
  <c r="E18" i="109"/>
  <c r="F16" i="39"/>
  <c r="G16" i="39" s="1"/>
  <c r="G15" i="39"/>
  <c r="C17" i="88"/>
  <c r="C22" i="68" s="1"/>
  <c r="D33" i="39"/>
  <c r="C18" i="68" s="1"/>
  <c r="F33" i="6"/>
  <c r="F48" i="6" s="1"/>
  <c r="D48" i="6"/>
  <c r="D21" i="39"/>
  <c r="C16" i="68" s="1"/>
  <c r="F19" i="6"/>
  <c r="F18" i="109" l="1"/>
  <c r="E23" i="109"/>
  <c r="K16" i="68"/>
  <c r="I16" i="68"/>
  <c r="C25" i="68"/>
  <c r="K23" i="68"/>
  <c r="I23" i="68"/>
  <c r="C19" i="68"/>
  <c r="I18" i="68"/>
  <c r="K18" i="68"/>
  <c r="D34" i="39"/>
  <c r="N9" i="87" l="1"/>
  <c r="Q9" i="87"/>
  <c r="E18" i="97"/>
  <c r="E14" i="40" l="1"/>
  <c r="F14" i="40"/>
  <c r="E32" i="39" l="1"/>
  <c r="E13" i="6" l="1"/>
  <c r="D14" i="31" l="1"/>
  <c r="D18" i="101"/>
  <c r="G18" i="101" s="1"/>
  <c r="P20" i="45"/>
  <c r="G28" i="18"/>
  <c r="G26" i="18"/>
  <c r="B31" i="48" l="1"/>
  <c r="B15" i="48"/>
  <c r="B33" i="48" l="1"/>
  <c r="C64" i="103"/>
  <c r="C54" i="103"/>
  <c r="C60" i="103" s="1"/>
  <c r="C23" i="103"/>
  <c r="C29" i="103" s="1"/>
  <c r="C31" i="103" s="1"/>
  <c r="C54" i="102"/>
  <c r="C60" i="102" s="1"/>
  <c r="C64" i="102"/>
  <c r="C64" i="101"/>
  <c r="C59" i="101"/>
  <c r="C60" i="101"/>
  <c r="C29" i="101"/>
  <c r="C31" i="101" s="1"/>
  <c r="C54" i="109"/>
  <c r="C60" i="109" s="1"/>
  <c r="C64" i="109"/>
  <c r="C23" i="109"/>
  <c r="C29" i="109" s="1"/>
  <c r="C31" i="109" s="1"/>
  <c r="C54" i="108"/>
  <c r="C60" i="108" s="1"/>
  <c r="C64" i="108"/>
  <c r="C23" i="108"/>
  <c r="C29" i="108" s="1"/>
  <c r="C31" i="108" s="1"/>
  <c r="C62" i="98"/>
  <c r="C58" i="98"/>
  <c r="C37" i="98"/>
  <c r="C28" i="98"/>
  <c r="C66" i="97"/>
  <c r="D54" i="102"/>
  <c r="F54" i="102" s="1"/>
  <c r="D54" i="101"/>
  <c r="D54" i="109"/>
  <c r="F54" i="109" s="1"/>
  <c r="F60" i="109" s="1"/>
  <c r="D54" i="108"/>
  <c r="F54" i="108" s="1"/>
  <c r="B39" i="48" l="1"/>
  <c r="B40" i="48" s="1"/>
  <c r="D60" i="101"/>
  <c r="G54" i="101"/>
  <c r="G60" i="101" s="1"/>
  <c r="C29" i="98"/>
  <c r="C38" i="98" s="1"/>
  <c r="C33" i="101"/>
  <c r="C32" i="101"/>
  <c r="C33" i="103"/>
  <c r="C33" i="102"/>
  <c r="C61" i="101"/>
  <c r="C65" i="101" s="1"/>
  <c r="C33" i="109"/>
  <c r="C33" i="108"/>
  <c r="G33" i="101" l="1"/>
  <c r="D33" i="101"/>
  <c r="D21" i="103" l="1"/>
  <c r="F21" i="103" s="1"/>
  <c r="D45" i="102"/>
  <c r="F45" i="102" s="1"/>
  <c r="D45" i="109"/>
  <c r="F45" i="109" s="1"/>
  <c r="D45" i="108"/>
  <c r="F45" i="108" s="1"/>
  <c r="D17" i="88" l="1"/>
  <c r="D22" i="68" s="1"/>
  <c r="E21" i="87" l="1"/>
  <c r="Q8" i="87" l="1"/>
  <c r="N8" i="87"/>
  <c r="C60" i="104" l="1"/>
  <c r="E28" i="23"/>
  <c r="E21" i="39"/>
  <c r="F39" i="96" l="1"/>
  <c r="E39" i="96"/>
  <c r="D39" i="96"/>
  <c r="C39" i="96"/>
  <c r="L26" i="91"/>
  <c r="F28" i="91"/>
  <c r="D31" i="96" l="1"/>
  <c r="D27" i="96"/>
  <c r="D23" i="96"/>
  <c r="D19" i="96"/>
  <c r="D15" i="96"/>
  <c r="D11" i="96"/>
  <c r="D33" i="96"/>
  <c r="D29" i="96"/>
  <c r="D25" i="96"/>
  <c r="D21" i="96"/>
  <c r="D17" i="96"/>
  <c r="D13" i="96"/>
  <c r="C33" i="96"/>
  <c r="C29" i="96"/>
  <c r="C25" i="96"/>
  <c r="C21" i="96"/>
  <c r="C17" i="96"/>
  <c r="C13" i="96"/>
  <c r="C31" i="96"/>
  <c r="C27" i="96"/>
  <c r="C23" i="96"/>
  <c r="C19" i="96"/>
  <c r="C15" i="96"/>
  <c r="C11" i="96"/>
  <c r="F33" i="96"/>
  <c r="F29" i="96"/>
  <c r="F25" i="96"/>
  <c r="F21" i="96"/>
  <c r="F17" i="96"/>
  <c r="F13" i="96"/>
  <c r="F31" i="96"/>
  <c r="F27" i="96"/>
  <c r="F23" i="96"/>
  <c r="F19" i="96"/>
  <c r="F15" i="96"/>
  <c r="F11" i="96"/>
  <c r="E31" i="96"/>
  <c r="E27" i="96"/>
  <c r="E23" i="96"/>
  <c r="E19" i="96"/>
  <c r="E15" i="96"/>
  <c r="E11" i="96"/>
  <c r="E33" i="96"/>
  <c r="E29" i="96"/>
  <c r="E25" i="96"/>
  <c r="E21" i="96"/>
  <c r="E17" i="96"/>
  <c r="E13" i="96"/>
  <c r="F25" i="98"/>
  <c r="F24" i="98"/>
  <c r="F20" i="98"/>
  <c r="F18" i="98"/>
  <c r="F12" i="98"/>
  <c r="D35" i="96" l="1"/>
  <c r="D9" i="96"/>
  <c r="C35" i="96"/>
  <c r="C9" i="96"/>
  <c r="F35" i="96"/>
  <c r="F9" i="96"/>
  <c r="E35" i="96"/>
  <c r="E9" i="96"/>
  <c r="F9" i="98"/>
  <c r="F13" i="98"/>
  <c r="F11" i="98"/>
  <c r="L52" i="45"/>
  <c r="L39" i="45"/>
  <c r="L32" i="45"/>
  <c r="L26" i="45"/>
  <c r="L25" i="45"/>
  <c r="L24" i="45"/>
  <c r="J52" i="45"/>
  <c r="J39" i="45"/>
  <c r="J32" i="45"/>
  <c r="J26" i="45"/>
  <c r="J25" i="45"/>
  <c r="J13" i="45"/>
  <c r="J24" i="45" s="1"/>
  <c r="H52" i="45"/>
  <c r="H39" i="45"/>
  <c r="D44" i="101" s="1"/>
  <c r="H32" i="45"/>
  <c r="H26" i="45"/>
  <c r="H25" i="45"/>
  <c r="H13" i="45"/>
  <c r="F52" i="45"/>
  <c r="F39" i="45"/>
  <c r="F32" i="45"/>
  <c r="F13" i="45"/>
  <c r="E11" i="23"/>
  <c r="E17" i="23" s="1"/>
  <c r="D7" i="6"/>
  <c r="D13" i="45"/>
  <c r="D24" i="45" s="1"/>
  <c r="I13" i="45"/>
  <c r="K13" i="45"/>
  <c r="K24" i="45" s="1"/>
  <c r="D17" i="101" l="1"/>
  <c r="G17" i="101" s="1"/>
  <c r="H24" i="45"/>
  <c r="I24" i="45"/>
  <c r="O24" i="45" s="1"/>
  <c r="O13" i="45"/>
  <c r="F24" i="45"/>
  <c r="P13" i="45"/>
  <c r="F15" i="98"/>
  <c r="F21" i="98" s="1"/>
  <c r="D44" i="102"/>
  <c r="J48" i="45"/>
  <c r="J53" i="45" s="1"/>
  <c r="D59" i="101"/>
  <c r="D61" i="101" s="1"/>
  <c r="D65" i="101" s="1"/>
  <c r="G44" i="101"/>
  <c r="G59" i="101" s="1"/>
  <c r="G61" i="101" s="1"/>
  <c r="G65" i="101" s="1"/>
  <c r="C59" i="108"/>
  <c r="L29" i="45"/>
  <c r="F48" i="45"/>
  <c r="F53" i="45" s="1"/>
  <c r="D44" i="109"/>
  <c r="F44" i="109" s="1"/>
  <c r="F59" i="109" s="1"/>
  <c r="F61" i="109" s="1"/>
  <c r="F65" i="109" s="1"/>
  <c r="L27" i="45"/>
  <c r="L48" i="45"/>
  <c r="L53" i="45" s="1"/>
  <c r="H48" i="45"/>
  <c r="H53" i="45" s="1"/>
  <c r="J29" i="45"/>
  <c r="H29" i="45"/>
  <c r="J27" i="45"/>
  <c r="L33" i="45" l="1"/>
  <c r="L28" i="45"/>
  <c r="J33" i="45"/>
  <c r="D38" i="102" s="1"/>
  <c r="P24" i="45"/>
  <c r="D23" i="101"/>
  <c r="J28" i="45"/>
  <c r="C61" i="108"/>
  <c r="C65" i="108" s="1"/>
  <c r="C32" i="108"/>
  <c r="H27" i="45"/>
  <c r="H33" i="45" s="1"/>
  <c r="H28" i="45"/>
  <c r="D29" i="101" l="1"/>
  <c r="G23" i="101"/>
  <c r="D32" i="101"/>
  <c r="D31" i="101"/>
  <c r="D38" i="101"/>
  <c r="G38" i="101" s="1"/>
  <c r="D38" i="96"/>
  <c r="D39" i="102"/>
  <c r="F38" i="102"/>
  <c r="L34" i="45"/>
  <c r="L35" i="45" s="1"/>
  <c r="D38" i="103"/>
  <c r="D39" i="101"/>
  <c r="F38" i="96"/>
  <c r="J34" i="45"/>
  <c r="J35" i="45" s="1"/>
  <c r="E38" i="96"/>
  <c r="D28" i="96" l="1"/>
  <c r="D32" i="96"/>
  <c r="D30" i="96"/>
  <c r="D26" i="96"/>
  <c r="D24" i="96"/>
  <c r="D22" i="96"/>
  <c r="D20" i="96"/>
  <c r="D18" i="96"/>
  <c r="D16" i="96"/>
  <c r="D14" i="96"/>
  <c r="D12" i="96"/>
  <c r="D10" i="96"/>
  <c r="F32" i="96"/>
  <c r="F30" i="96"/>
  <c r="F28" i="96"/>
  <c r="F26" i="96"/>
  <c r="F24" i="96"/>
  <c r="F22" i="96"/>
  <c r="F20" i="96"/>
  <c r="F18" i="96"/>
  <c r="F16" i="96"/>
  <c r="F14" i="96"/>
  <c r="F12" i="96"/>
  <c r="F10" i="96"/>
  <c r="E30" i="96"/>
  <c r="E20" i="96"/>
  <c r="E16" i="96"/>
  <c r="E14" i="96"/>
  <c r="E32" i="96"/>
  <c r="E28" i="96"/>
  <c r="E26" i="96"/>
  <c r="E24" i="96"/>
  <c r="E22" i="96"/>
  <c r="E18" i="96"/>
  <c r="E12" i="96"/>
  <c r="E10" i="96"/>
  <c r="D40" i="101"/>
  <c r="D39" i="103"/>
  <c r="F38" i="103"/>
  <c r="F39" i="103" s="1"/>
  <c r="G39" i="101"/>
  <c r="H34" i="45"/>
  <c r="H35" i="45" s="1"/>
  <c r="D34" i="96" l="1"/>
  <c r="D8" i="96"/>
  <c r="F34" i="96"/>
  <c r="F8" i="96"/>
  <c r="E34" i="96"/>
  <c r="E8" i="96"/>
  <c r="D31" i="68"/>
  <c r="B31" i="68"/>
  <c r="D39" i="31"/>
  <c r="L39" i="31" s="1"/>
  <c r="B39" i="31"/>
  <c r="L31" i="68" l="1"/>
  <c r="J31" i="68"/>
  <c r="D34" i="104"/>
  <c r="J39" i="31"/>
  <c r="F25" i="91" l="1"/>
  <c r="E25" i="91"/>
  <c r="P20" i="87" l="1"/>
  <c r="R21" i="87"/>
  <c r="P19" i="87"/>
  <c r="P21" i="87" l="1"/>
  <c r="Q21" i="87"/>
  <c r="O21" i="87"/>
  <c r="E66" i="97" l="1"/>
  <c r="F66" i="97" s="1"/>
  <c r="E60" i="97"/>
  <c r="E55" i="97"/>
  <c r="E38" i="97"/>
  <c r="F38" i="97" s="1"/>
  <c r="E30" i="97"/>
  <c r="F30" i="97" s="1"/>
  <c r="E25" i="97"/>
  <c r="E17" i="97"/>
  <c r="E12" i="97"/>
  <c r="E62" i="97" l="1"/>
  <c r="F60" i="97"/>
  <c r="E61" i="97"/>
  <c r="E31" i="97"/>
  <c r="E32" i="97"/>
  <c r="D25" i="45"/>
  <c r="D26" i="45"/>
  <c r="H9" i="68"/>
  <c r="H12" i="68"/>
  <c r="E37" i="40"/>
  <c r="D28" i="68"/>
  <c r="D33" i="25"/>
  <c r="G9" i="6"/>
  <c r="F19" i="31"/>
  <c r="D20" i="97" s="1"/>
  <c r="F20" i="97" s="1"/>
  <c r="E9" i="6"/>
  <c r="E29" i="39"/>
  <c r="E36" i="39"/>
  <c r="D23" i="68" s="1"/>
  <c r="D15" i="68"/>
  <c r="D28" i="31"/>
  <c r="G7" i="6"/>
  <c r="E7" i="6"/>
  <c r="D8" i="25" s="1"/>
  <c r="D22" i="25" s="1"/>
  <c r="E8" i="23" s="1"/>
  <c r="E24" i="23" s="1"/>
  <c r="E8" i="92" s="1"/>
  <c r="L21" i="87"/>
  <c r="H11" i="31" s="1"/>
  <c r="H12" i="31" s="1"/>
  <c r="J13" i="87"/>
  <c r="J21" i="87"/>
  <c r="H17" i="87"/>
  <c r="H21" i="87"/>
  <c r="F11" i="31" s="1"/>
  <c r="F12" i="31" s="1"/>
  <c r="D13" i="97" s="1"/>
  <c r="F13" i="97" s="1"/>
  <c r="R7" i="87"/>
  <c r="O7" i="87"/>
  <c r="L7" i="87"/>
  <c r="H7" i="87"/>
  <c r="E7" i="87"/>
  <c r="H13" i="68"/>
  <c r="H34" i="68"/>
  <c r="F19" i="68"/>
  <c r="D55" i="97" s="1"/>
  <c r="F55" i="97" s="1"/>
  <c r="F34" i="68"/>
  <c r="D29" i="68"/>
  <c r="L8" i="68"/>
  <c r="J8" i="68"/>
  <c r="H8" i="68"/>
  <c r="F8" i="68"/>
  <c r="G8" i="92" s="1"/>
  <c r="D8" i="68"/>
  <c r="H16" i="31"/>
  <c r="H27" i="31"/>
  <c r="H32" i="31"/>
  <c r="H38" i="31"/>
  <c r="F14" i="98"/>
  <c r="F22" i="98"/>
  <c r="F23" i="98"/>
  <c r="F23" i="31"/>
  <c r="D24" i="97" s="1"/>
  <c r="F24" i="97" s="1"/>
  <c r="F27" i="31"/>
  <c r="D26" i="97" s="1"/>
  <c r="F26" i="97" s="1"/>
  <c r="F29" i="31"/>
  <c r="D27" i="97" s="1"/>
  <c r="F27" i="97" s="1"/>
  <c r="F32" i="31"/>
  <c r="F38" i="31"/>
  <c r="D36" i="97" s="1"/>
  <c r="F36" i="97" s="1"/>
  <c r="F42" i="31"/>
  <c r="D11" i="31"/>
  <c r="D23" i="31"/>
  <c r="D30" i="31"/>
  <c r="L30" i="31" s="1"/>
  <c r="D31" i="31"/>
  <c r="L31" i="31" s="1"/>
  <c r="D13" i="31" l="1"/>
  <c r="E19" i="6"/>
  <c r="F9" i="31"/>
  <c r="D11" i="97" s="1"/>
  <c r="F11" i="97" s="1"/>
  <c r="L23" i="68"/>
  <c r="J23" i="68"/>
  <c r="D25" i="68"/>
  <c r="G7" i="38"/>
  <c r="F10" i="40" s="1"/>
  <c r="F9" i="88" s="1"/>
  <c r="L23" i="31"/>
  <c r="E7" i="38"/>
  <c r="E8" i="39" s="1"/>
  <c r="D9" i="41" s="1"/>
  <c r="D10" i="40" s="1"/>
  <c r="D9" i="88" s="1"/>
  <c r="J29" i="68"/>
  <c r="L29" i="68"/>
  <c r="C40" i="40"/>
  <c r="E21" i="68"/>
  <c r="L15" i="68"/>
  <c r="L12" i="91" s="1"/>
  <c r="J15" i="68"/>
  <c r="L28" i="68"/>
  <c r="J28" i="68"/>
  <c r="L12" i="68"/>
  <c r="J10" i="4" s="1"/>
  <c r="J12" i="68"/>
  <c r="C9" i="106" s="1"/>
  <c r="D9" i="106" s="1"/>
  <c r="E9" i="106" s="1"/>
  <c r="F9" i="106" s="1"/>
  <c r="J9" i="68"/>
  <c r="L9" i="68"/>
  <c r="L11" i="31"/>
  <c r="L12" i="31" s="1"/>
  <c r="F19" i="91" s="1"/>
  <c r="J23" i="31"/>
  <c r="D25" i="104"/>
  <c r="F25" i="104" s="1"/>
  <c r="J30" i="31"/>
  <c r="D26" i="104"/>
  <c r="F26" i="104" s="1"/>
  <c r="J31" i="31"/>
  <c r="D11" i="104"/>
  <c r="F11" i="104" s="1"/>
  <c r="J11" i="31"/>
  <c r="J12" i="31" s="1"/>
  <c r="C34" i="106" s="1"/>
  <c r="D34" i="106" s="1"/>
  <c r="E33" i="97"/>
  <c r="D51" i="104"/>
  <c r="E63" i="97"/>
  <c r="E26" i="45"/>
  <c r="O26" i="45" s="1"/>
  <c r="F10" i="98"/>
  <c r="E25" i="45"/>
  <c r="O25" i="45" s="1"/>
  <c r="D12" i="31"/>
  <c r="G25" i="18"/>
  <c r="H18" i="87"/>
  <c r="H22" i="87" s="1"/>
  <c r="D16" i="68"/>
  <c r="G11" i="38"/>
  <c r="G22" i="38" s="1"/>
  <c r="G38" i="6"/>
  <c r="F20" i="31" s="1"/>
  <c r="D21" i="97" s="1"/>
  <c r="F21" i="97" s="1"/>
  <c r="E46" i="6"/>
  <c r="D22" i="31" s="1"/>
  <c r="E41" i="6"/>
  <c r="D21" i="31" s="1"/>
  <c r="G46" i="6"/>
  <c r="F22" i="31" s="1"/>
  <c r="D23" i="97" s="1"/>
  <c r="F23" i="97" s="1"/>
  <c r="F15" i="31"/>
  <c r="D16" i="97" s="1"/>
  <c r="D27" i="31"/>
  <c r="D23" i="104" s="1"/>
  <c r="F23" i="104" s="1"/>
  <c r="J27" i="31"/>
  <c r="C35" i="106" s="1"/>
  <c r="D35" i="106" s="1"/>
  <c r="E35" i="106" s="1"/>
  <c r="F35" i="106" s="1"/>
  <c r="F55" i="104"/>
  <c r="F8" i="31"/>
  <c r="D10" i="97" s="1"/>
  <c r="F22" i="68"/>
  <c r="D57" i="97" s="1"/>
  <c r="F57" i="97" s="1"/>
  <c r="H21" i="68"/>
  <c r="F14" i="31"/>
  <c r="D15" i="97" s="1"/>
  <c r="F15" i="97" s="1"/>
  <c r="D32" i="31"/>
  <c r="F13" i="31"/>
  <c r="D14" i="97" s="1"/>
  <c r="K12" i="91"/>
  <c r="D30" i="68"/>
  <c r="D38" i="31"/>
  <c r="D44" i="31" s="1"/>
  <c r="D29" i="31"/>
  <c r="D24" i="104" s="1"/>
  <c r="L27" i="31"/>
  <c r="E34" i="106" l="1"/>
  <c r="D52" i="104"/>
  <c r="L16" i="68"/>
  <c r="J16" i="68"/>
  <c r="K13" i="91" s="1"/>
  <c r="D66" i="104"/>
  <c r="L30" i="68"/>
  <c r="J30" i="68"/>
  <c r="L9" i="91"/>
  <c r="D60" i="104"/>
  <c r="J38" i="31"/>
  <c r="C41" i="106" s="1"/>
  <c r="D41" i="106" s="1"/>
  <c r="L38" i="31"/>
  <c r="F24" i="91" s="1"/>
  <c r="L13" i="31"/>
  <c r="L14" i="31"/>
  <c r="F13" i="91" s="1"/>
  <c r="D21" i="104"/>
  <c r="F21" i="104" s="1"/>
  <c r="D12" i="104"/>
  <c r="F12" i="104" s="1"/>
  <c r="J13" i="31"/>
  <c r="E12" i="91" s="1"/>
  <c r="D13" i="104"/>
  <c r="F13" i="104" s="1"/>
  <c r="J14" i="31"/>
  <c r="E13" i="91" s="1"/>
  <c r="D20" i="104"/>
  <c r="F20" i="104" s="1"/>
  <c r="F24" i="104"/>
  <c r="F51" i="104"/>
  <c r="E24" i="91"/>
  <c r="D33" i="104"/>
  <c r="F10" i="97"/>
  <c r="D12" i="97"/>
  <c r="F12" i="97" s="1"/>
  <c r="G31" i="18"/>
  <c r="H25" i="18"/>
  <c r="H31" i="18" s="1"/>
  <c r="H32" i="18" s="1"/>
  <c r="H21" i="18" s="1"/>
  <c r="I21" i="18" s="1"/>
  <c r="D17" i="97"/>
  <c r="F17" i="97" s="1"/>
  <c r="F14" i="97"/>
  <c r="F16" i="97"/>
  <c r="E67" i="97"/>
  <c r="E27" i="45"/>
  <c r="F25" i="45"/>
  <c r="L32" i="31"/>
  <c r="F21" i="91" s="1"/>
  <c r="F26" i="45"/>
  <c r="P26" i="45" s="1"/>
  <c r="E10" i="4"/>
  <c r="F10" i="31"/>
  <c r="C10" i="4"/>
  <c r="E19" i="91"/>
  <c r="L13" i="91"/>
  <c r="C13" i="4"/>
  <c r="E20" i="91"/>
  <c r="E13" i="4"/>
  <c r="F20" i="91"/>
  <c r="H10" i="4"/>
  <c r="K9" i="91"/>
  <c r="F16" i="31"/>
  <c r="G19" i="6"/>
  <c r="J32" i="31"/>
  <c r="C36" i="106" s="1"/>
  <c r="P25" i="45" l="1"/>
  <c r="F28" i="45"/>
  <c r="F34" i="106"/>
  <c r="F37" i="106" s="1"/>
  <c r="E37" i="106"/>
  <c r="C37" i="106"/>
  <c r="D36" i="106"/>
  <c r="D37" i="106" s="1"/>
  <c r="E41" i="106"/>
  <c r="E15" i="4"/>
  <c r="F27" i="45"/>
  <c r="F29" i="45"/>
  <c r="F12" i="91"/>
  <c r="L23" i="91"/>
  <c r="C15" i="4"/>
  <c r="E21" i="91"/>
  <c r="K23" i="91"/>
  <c r="F33" i="45" l="1"/>
  <c r="F34" i="45" s="1"/>
  <c r="F35" i="45" s="1"/>
  <c r="F41" i="106"/>
  <c r="H29" i="31"/>
  <c r="H28" i="31"/>
  <c r="D38" i="109"/>
  <c r="D39" i="109" s="1"/>
  <c r="C38" i="96" l="1"/>
  <c r="J28" i="31"/>
  <c r="J29" i="31" s="1"/>
  <c r="C32" i="106" s="1"/>
  <c r="D32" i="106" s="1"/>
  <c r="E32" i="106" s="1"/>
  <c r="F32" i="106" s="1"/>
  <c r="L28" i="31"/>
  <c r="A4" i="107"/>
  <c r="C32" i="96" l="1"/>
  <c r="C24" i="96"/>
  <c r="C16" i="96"/>
  <c r="C30" i="96"/>
  <c r="C22" i="96"/>
  <c r="C14" i="96"/>
  <c r="C28" i="96"/>
  <c r="C20" i="96"/>
  <c r="C12" i="96"/>
  <c r="C26" i="96"/>
  <c r="C18" i="96"/>
  <c r="C10" i="96"/>
  <c r="C14" i="4"/>
  <c r="E17" i="91"/>
  <c r="L29" i="31"/>
  <c r="E14" i="4"/>
  <c r="D17" i="68"/>
  <c r="E23" i="6"/>
  <c r="E38" i="31"/>
  <c r="C36" i="97" s="1"/>
  <c r="G38" i="31"/>
  <c r="C8" i="96" l="1"/>
  <c r="C34" i="96"/>
  <c r="D53" i="104"/>
  <c r="D57" i="104" s="1"/>
  <c r="J17" i="68"/>
  <c r="K14" i="91" s="1"/>
  <c r="L17" i="68"/>
  <c r="L14" i="91" s="1"/>
  <c r="F17" i="91"/>
  <c r="D17" i="31"/>
  <c r="E16" i="104" s="1"/>
  <c r="I31" i="18" l="1"/>
  <c r="A4" i="109" l="1"/>
  <c r="E64" i="109"/>
  <c r="D64" i="109"/>
  <c r="E60" i="109"/>
  <c r="D60" i="109"/>
  <c r="E59" i="109"/>
  <c r="D59" i="109"/>
  <c r="E30" i="109"/>
  <c r="E33" i="109" s="1"/>
  <c r="D30" i="109"/>
  <c r="D29" i="109"/>
  <c r="A4" i="108"/>
  <c r="F64" i="108"/>
  <c r="E64" i="108"/>
  <c r="D64" i="108"/>
  <c r="E60" i="108"/>
  <c r="D60" i="108"/>
  <c r="E59" i="108"/>
  <c r="E30" i="108"/>
  <c r="D30" i="108"/>
  <c r="F28" i="108"/>
  <c r="F27" i="108"/>
  <c r="F26" i="108"/>
  <c r="F25" i="108"/>
  <c r="F24" i="108"/>
  <c r="F22" i="108"/>
  <c r="F21" i="108"/>
  <c r="F20" i="108"/>
  <c r="F19" i="108"/>
  <c r="F16" i="108"/>
  <c r="F15" i="108"/>
  <c r="F14" i="108"/>
  <c r="F13" i="108"/>
  <c r="F12" i="108"/>
  <c r="F11" i="108"/>
  <c r="F10" i="108"/>
  <c r="D31" i="109" l="1"/>
  <c r="F30" i="109"/>
  <c r="E29" i="109"/>
  <c r="E31" i="109" s="1"/>
  <c r="D29" i="108"/>
  <c r="D31" i="108" s="1"/>
  <c r="E29" i="108"/>
  <c r="E31" i="108" s="1"/>
  <c r="E33" i="108"/>
  <c r="D33" i="109"/>
  <c r="F33" i="109" s="1"/>
  <c r="E61" i="109"/>
  <c r="E65" i="109" s="1"/>
  <c r="E35" i="97"/>
  <c r="D33" i="108"/>
  <c r="E61" i="108"/>
  <c r="E65" i="108" s="1"/>
  <c r="F30" i="108"/>
  <c r="F60" i="108"/>
  <c r="D61" i="109"/>
  <c r="D65" i="109" s="1"/>
  <c r="D32" i="109"/>
  <c r="F33" i="108" l="1"/>
  <c r="F23" i="109"/>
  <c r="F29" i="109" s="1"/>
  <c r="F31" i="109" s="1"/>
  <c r="F29" i="108"/>
  <c r="F31" i="108" s="1"/>
  <c r="F23" i="108"/>
  <c r="D40" i="109"/>
  <c r="E32" i="108"/>
  <c r="E32" i="109" l="1"/>
  <c r="F32" i="109" s="1"/>
  <c r="B29" i="107" l="1"/>
  <c r="E38" i="6" l="1"/>
  <c r="D20" i="31" l="1"/>
  <c r="L20" i="31" s="1"/>
  <c r="E48" i="6"/>
  <c r="D19" i="104"/>
  <c r="F19" i="104" s="1"/>
  <c r="G41" i="6"/>
  <c r="F21" i="31" s="1"/>
  <c r="J20" i="31" l="1"/>
  <c r="D22" i="97"/>
  <c r="F22" i="97" s="1"/>
  <c r="D9" i="31" l="1"/>
  <c r="D9" i="104" l="1"/>
  <c r="C29" i="107"/>
  <c r="C33" i="107" s="1"/>
  <c r="B33" i="107"/>
  <c r="D32" i="68" l="1"/>
  <c r="D19" i="23"/>
  <c r="C37" i="31"/>
  <c r="D67" i="104" l="1"/>
  <c r="F67" i="104" s="1"/>
  <c r="L32" i="68"/>
  <c r="J32" i="68"/>
  <c r="C19" i="106" s="1"/>
  <c r="I37" i="31"/>
  <c r="K37" i="31"/>
  <c r="D37" i="40"/>
  <c r="C38" i="31"/>
  <c r="K38" i="31" s="1"/>
  <c r="C66" i="104"/>
  <c r="D21" i="68" l="1"/>
  <c r="D26" i="68" s="1"/>
  <c r="D35" i="31" s="1"/>
  <c r="D19" i="106"/>
  <c r="C22" i="106"/>
  <c r="C33" i="104"/>
  <c r="I38" i="31"/>
  <c r="D58" i="104"/>
  <c r="L34" i="68"/>
  <c r="J18" i="4" s="1"/>
  <c r="L25" i="91"/>
  <c r="K25" i="91"/>
  <c r="F37" i="40"/>
  <c r="F21" i="68" s="1"/>
  <c r="D40" i="40" l="1"/>
  <c r="D56" i="97"/>
  <c r="F56" i="97" s="1"/>
  <c r="L21" i="68"/>
  <c r="J21" i="68"/>
  <c r="C14" i="106" s="1"/>
  <c r="D14" i="106" s="1"/>
  <c r="E14" i="106" s="1"/>
  <c r="F14" i="106" s="1"/>
  <c r="E19" i="106"/>
  <c r="D22" i="106"/>
  <c r="D41" i="40"/>
  <c r="F38" i="40"/>
  <c r="F26" i="68"/>
  <c r="F35" i="31" s="1"/>
  <c r="D62" i="97" l="1"/>
  <c r="F62" i="97" s="1"/>
  <c r="F19" i="106"/>
  <c r="F22" i="106" s="1"/>
  <c r="E22" i="106"/>
  <c r="H14" i="4"/>
  <c r="K18" i="91"/>
  <c r="J14" i="4"/>
  <c r="L18" i="91"/>
  <c r="D59" i="104" l="1"/>
  <c r="D25" i="41"/>
  <c r="N11" i="87" l="1"/>
  <c r="Q11" i="87"/>
  <c r="G14" i="23"/>
  <c r="G16" i="31"/>
  <c r="G27" i="31"/>
  <c r="G32" i="31"/>
  <c r="G42" i="31"/>
  <c r="Q10" i="87" l="1"/>
  <c r="Q13" i="87" s="1"/>
  <c r="N10" i="87"/>
  <c r="N13" i="87" s="1"/>
  <c r="G15" i="23"/>
  <c r="G16" i="23" s="1"/>
  <c r="D29" i="48"/>
  <c r="D31" i="48" s="1"/>
  <c r="F29" i="48"/>
  <c r="F31" i="48" s="1"/>
  <c r="G29" i="48"/>
  <c r="G31" i="48" s="1"/>
  <c r="C29" i="48"/>
  <c r="C31" i="48" s="1"/>
  <c r="E27" i="48"/>
  <c r="D35" i="104" l="1"/>
  <c r="D37" i="104" s="1"/>
  <c r="G23" i="6"/>
  <c r="G48" i="6" s="1"/>
  <c r="F18" i="31"/>
  <c r="D19" i="97" s="1"/>
  <c r="F19" i="97" s="1"/>
  <c r="F17" i="31" l="1"/>
  <c r="F24" i="31" l="1"/>
  <c r="D18" i="97"/>
  <c r="F33" i="31" l="1"/>
  <c r="F18" i="97"/>
  <c r="D25" i="97"/>
  <c r="D19" i="31"/>
  <c r="L19" i="31" s="1"/>
  <c r="G34" i="92"/>
  <c r="F13" i="68" s="1"/>
  <c r="D18" i="104" l="1"/>
  <c r="F18" i="104" s="1"/>
  <c r="J19" i="31"/>
  <c r="F25" i="97"/>
  <c r="D31" i="97"/>
  <c r="F31" i="97" s="1"/>
  <c r="D47" i="97"/>
  <c r="E34" i="92"/>
  <c r="D13" i="68" s="1"/>
  <c r="B39" i="96"/>
  <c r="G39" i="96" s="1"/>
  <c r="B33" i="96" l="1"/>
  <c r="G33" i="96" s="1"/>
  <c r="B31" i="96"/>
  <c r="G31" i="96" s="1"/>
  <c r="B29" i="96"/>
  <c r="G29" i="96" s="1"/>
  <c r="B27" i="96"/>
  <c r="G27" i="96" s="1"/>
  <c r="B25" i="96"/>
  <c r="G25" i="96" s="1"/>
  <c r="B23" i="96"/>
  <c r="G23" i="96" s="1"/>
  <c r="B21" i="96"/>
  <c r="G21" i="96" s="1"/>
  <c r="B19" i="96"/>
  <c r="G19" i="96" s="1"/>
  <c r="B17" i="96"/>
  <c r="G17" i="96" s="1"/>
  <c r="B15" i="96"/>
  <c r="G15" i="96" s="1"/>
  <c r="B13" i="96"/>
  <c r="G13" i="96" s="1"/>
  <c r="B11" i="96"/>
  <c r="D49" i="104"/>
  <c r="J13" i="68"/>
  <c r="C10" i="106" s="1"/>
  <c r="L13" i="68"/>
  <c r="L10" i="91" s="1"/>
  <c r="F47" i="97"/>
  <c r="B9" i="96" l="1"/>
  <c r="G9" i="96" s="1"/>
  <c r="K10" i="91"/>
  <c r="B35" i="96"/>
  <c r="G35" i="96" s="1"/>
  <c r="G11" i="96"/>
  <c r="D10" i="106"/>
  <c r="J11" i="4"/>
  <c r="H11" i="4"/>
  <c r="D18" i="31"/>
  <c r="E10" i="106" l="1"/>
  <c r="D24" i="31"/>
  <c r="D17" i="104"/>
  <c r="F17" i="104" s="1"/>
  <c r="C13" i="87"/>
  <c r="F10" i="106" l="1"/>
  <c r="E23" i="31"/>
  <c r="C24" i="97" s="1"/>
  <c r="E19" i="31"/>
  <c r="C20" i="97" s="1"/>
  <c r="E13" i="31"/>
  <c r="C14" i="97" s="1"/>
  <c r="K40" i="31"/>
  <c r="C30" i="31"/>
  <c r="K30" i="31" s="1"/>
  <c r="C31" i="31"/>
  <c r="I31" i="31" s="1"/>
  <c r="K28" i="31"/>
  <c r="C23" i="31"/>
  <c r="C19" i="31"/>
  <c r="K19" i="31" l="1"/>
  <c r="I23" i="31"/>
  <c r="K23" i="31"/>
  <c r="C26" i="104"/>
  <c r="C27" i="104" s="1"/>
  <c r="K31" i="31"/>
  <c r="C18" i="104"/>
  <c r="I19" i="31"/>
  <c r="C25" i="104"/>
  <c r="I30" i="31"/>
  <c r="C35" i="104"/>
  <c r="I40" i="31"/>
  <c r="C14" i="31"/>
  <c r="K14" i="31" s="1"/>
  <c r="C37" i="104" l="1"/>
  <c r="C39" i="104" s="1"/>
  <c r="C13" i="104"/>
  <c r="I14" i="31"/>
  <c r="C44" i="31"/>
  <c r="B2" i="6" l="1"/>
  <c r="A3" i="68"/>
  <c r="A3" i="45" s="1"/>
  <c r="A2" i="31"/>
  <c r="A2" i="4"/>
  <c r="C61" i="104" l="1"/>
  <c r="C62" i="104" s="1"/>
  <c r="D61" i="104"/>
  <c r="D62" i="104" s="1"/>
  <c r="D64" i="104" s="1"/>
  <c r="E39" i="39"/>
  <c r="C67" i="104" l="1"/>
  <c r="C51" i="104" l="1"/>
  <c r="A1" i="4" l="1"/>
  <c r="E42" i="31" l="1"/>
  <c r="I42" i="31" l="1"/>
  <c r="K42" i="31"/>
  <c r="C53" i="104"/>
  <c r="E34" i="23"/>
  <c r="E33" i="23"/>
  <c r="E19" i="23"/>
  <c r="C33" i="25"/>
  <c r="E22" i="31"/>
  <c r="C23" i="97" s="1"/>
  <c r="E21" i="31"/>
  <c r="C22" i="97" s="1"/>
  <c r="E18" i="31"/>
  <c r="C19" i="97" s="1"/>
  <c r="E17" i="31"/>
  <c r="C18" i="97" s="1"/>
  <c r="E15" i="31"/>
  <c r="C16" i="97" s="1"/>
  <c r="C22" i="31"/>
  <c r="K11" i="31"/>
  <c r="K21" i="87"/>
  <c r="G11" i="31" s="1"/>
  <c r="K17" i="87"/>
  <c r="K13" i="87"/>
  <c r="G21" i="87"/>
  <c r="E11" i="31" s="1"/>
  <c r="G17" i="87"/>
  <c r="E9" i="31" s="1"/>
  <c r="C11" i="97" s="1"/>
  <c r="E8" i="31"/>
  <c r="C10" i="97" s="1"/>
  <c r="D21" i="87"/>
  <c r="C11" i="31" s="1"/>
  <c r="C17" i="87"/>
  <c r="D17" i="87"/>
  <c r="D18" i="87" s="1"/>
  <c r="G12" i="68"/>
  <c r="G29" i="31"/>
  <c r="G21" i="68"/>
  <c r="G13" i="68"/>
  <c r="G48" i="45"/>
  <c r="G28" i="45" s="1"/>
  <c r="G9" i="68"/>
  <c r="G34" i="68"/>
  <c r="C57" i="98"/>
  <c r="E34" i="68"/>
  <c r="C55" i="97"/>
  <c r="Q17" i="87" l="1"/>
  <c r="N17" i="87"/>
  <c r="K9" i="68"/>
  <c r="I9" i="68"/>
  <c r="I21" i="68"/>
  <c r="K21" i="68"/>
  <c r="I12" i="68"/>
  <c r="G10" i="4" s="1"/>
  <c r="K12" i="68"/>
  <c r="C11" i="104"/>
  <c r="I11" i="31"/>
  <c r="C21" i="104"/>
  <c r="C12" i="97"/>
  <c r="C17" i="97"/>
  <c r="C59" i="98"/>
  <c r="C63" i="98" s="1"/>
  <c r="C44" i="102"/>
  <c r="C59" i="102" s="1"/>
  <c r="C9" i="31"/>
  <c r="C59" i="109"/>
  <c r="C61" i="109" s="1"/>
  <c r="C65" i="109" s="1"/>
  <c r="K18" i="87"/>
  <c r="K22" i="87" s="1"/>
  <c r="D14" i="68"/>
  <c r="D50" i="104" s="1"/>
  <c r="G32" i="45"/>
  <c r="N21" i="87"/>
  <c r="O39" i="45"/>
  <c r="C29" i="45"/>
  <c r="D19" i="25"/>
  <c r="I48" i="45"/>
  <c r="C13" i="31"/>
  <c r="K13" i="31" s="1"/>
  <c r="G52" i="45"/>
  <c r="E20" i="31"/>
  <c r="C21" i="97" s="1"/>
  <c r="C25" i="97" s="1"/>
  <c r="C19" i="25"/>
  <c r="C59" i="104"/>
  <c r="D11" i="38"/>
  <c r="D22" i="38" s="1"/>
  <c r="C14" i="68" s="1"/>
  <c r="C20" i="68" s="1"/>
  <c r="F11" i="38"/>
  <c r="F22" i="38" s="1"/>
  <c r="E14" i="68" s="1"/>
  <c r="F34" i="92"/>
  <c r="I29" i="31"/>
  <c r="C20" i="31"/>
  <c r="K52" i="45"/>
  <c r="K29" i="45" s="1"/>
  <c r="G18" i="87"/>
  <c r="G22" i="87" s="1"/>
  <c r="C56" i="97"/>
  <c r="E32" i="31"/>
  <c r="E29" i="31"/>
  <c r="C27" i="97" s="1"/>
  <c r="E27" i="31"/>
  <c r="C26" i="97" s="1"/>
  <c r="K12" i="31"/>
  <c r="E12" i="31"/>
  <c r="C13" i="97" s="1"/>
  <c r="C12" i="31"/>
  <c r="F7" i="6"/>
  <c r="C8" i="25"/>
  <c r="C22" i="25" s="1"/>
  <c r="D8" i="23" s="1"/>
  <c r="D24" i="23" s="1"/>
  <c r="D8" i="92" s="1"/>
  <c r="Q7" i="87"/>
  <c r="N7" i="87"/>
  <c r="K7" i="87"/>
  <c r="G7" i="87"/>
  <c r="D7" i="87"/>
  <c r="K8" i="68"/>
  <c r="I8" i="68"/>
  <c r="G8" i="68"/>
  <c r="E8" i="68"/>
  <c r="F8" i="92" s="1"/>
  <c r="C8" i="68"/>
  <c r="I14" i="68" l="1"/>
  <c r="K14" i="68"/>
  <c r="F7" i="38"/>
  <c r="E10" i="40" s="1"/>
  <c r="E9" i="88" s="1"/>
  <c r="K20" i="31"/>
  <c r="D7" i="38"/>
  <c r="D8" i="39" s="1"/>
  <c r="C9" i="41" s="1"/>
  <c r="C10" i="40" s="1"/>
  <c r="C9" i="88" s="1"/>
  <c r="E13" i="68"/>
  <c r="G29" i="45"/>
  <c r="C12" i="104"/>
  <c r="I13" i="31"/>
  <c r="C9" i="104"/>
  <c r="C19" i="104"/>
  <c r="I20" i="31"/>
  <c r="C31" i="97"/>
  <c r="C32" i="97"/>
  <c r="C32" i="102"/>
  <c r="C61" i="102"/>
  <c r="C65" i="102" s="1"/>
  <c r="F26" i="98"/>
  <c r="C44" i="103"/>
  <c r="C59" i="103" s="1"/>
  <c r="C48" i="97"/>
  <c r="C32" i="109"/>
  <c r="C57" i="97"/>
  <c r="C62" i="97" s="1"/>
  <c r="E24" i="31"/>
  <c r="K48" i="45"/>
  <c r="K53" i="45" s="1"/>
  <c r="L15" i="31"/>
  <c r="G27" i="45"/>
  <c r="G53" i="45"/>
  <c r="I52" i="45"/>
  <c r="I29" i="45" s="1"/>
  <c r="G12" i="31"/>
  <c r="D39" i="45"/>
  <c r="P39" i="45" s="1"/>
  <c r="D52" i="45"/>
  <c r="P52" i="45" s="1"/>
  <c r="D32" i="45"/>
  <c r="P32" i="45" s="1"/>
  <c r="G10" i="68"/>
  <c r="F14" i="68"/>
  <c r="F20" i="68" s="1"/>
  <c r="F34" i="31" s="1"/>
  <c r="D10" i="4"/>
  <c r="J31" i="18"/>
  <c r="I10" i="4"/>
  <c r="C15" i="31"/>
  <c r="K15" i="31" s="1"/>
  <c r="C50" i="104"/>
  <c r="B14" i="4"/>
  <c r="K29" i="31"/>
  <c r="I32" i="31"/>
  <c r="C32" i="31"/>
  <c r="C29" i="31"/>
  <c r="C24" i="104" s="1"/>
  <c r="E16" i="31"/>
  <c r="E10" i="31"/>
  <c r="F27" i="98" l="1"/>
  <c r="F28" i="98"/>
  <c r="F31" i="98" s="1"/>
  <c r="D48" i="97"/>
  <c r="D61" i="97" s="1"/>
  <c r="L14" i="68"/>
  <c r="L11" i="91" s="1"/>
  <c r="J14" i="68"/>
  <c r="C11" i="106" s="1"/>
  <c r="D11" i="106" s="1"/>
  <c r="K13" i="68"/>
  <c r="I11" i="4" s="1"/>
  <c r="I13" i="68"/>
  <c r="G11" i="4" s="1"/>
  <c r="C47" i="97"/>
  <c r="C61" i="97" s="1"/>
  <c r="I53" i="45"/>
  <c r="G11" i="68"/>
  <c r="I10" i="68"/>
  <c r="K10" i="68"/>
  <c r="C35" i="97"/>
  <c r="C14" i="104"/>
  <c r="C15" i="104" s="1"/>
  <c r="I15" i="31"/>
  <c r="D14" i="104"/>
  <c r="F14" i="104" s="1"/>
  <c r="J15" i="31"/>
  <c r="C33" i="97"/>
  <c r="G33" i="45"/>
  <c r="C38" i="101" s="1"/>
  <c r="C40" i="101" s="1"/>
  <c r="E26" i="68"/>
  <c r="E35" i="31" s="1"/>
  <c r="C61" i="103"/>
  <c r="C65" i="103" s="1"/>
  <c r="C32" i="103"/>
  <c r="D44" i="108"/>
  <c r="D29" i="45"/>
  <c r="P29" i="45"/>
  <c r="D16" i="31"/>
  <c r="F14" i="91"/>
  <c r="H22" i="31"/>
  <c r="L22" i="31" s="1"/>
  <c r="G22" i="31"/>
  <c r="H25" i="68"/>
  <c r="G25" i="68"/>
  <c r="G22" i="68"/>
  <c r="E52" i="45"/>
  <c r="O52" i="45" s="1"/>
  <c r="D48" i="45"/>
  <c r="P48" i="45" s="1"/>
  <c r="H10" i="68"/>
  <c r="D14" i="4"/>
  <c r="C16" i="31"/>
  <c r="B15" i="4"/>
  <c r="K32" i="31"/>
  <c r="I12" i="31"/>
  <c r="E33" i="31"/>
  <c r="C39" i="101" l="1"/>
  <c r="F48" i="97"/>
  <c r="F29" i="98"/>
  <c r="F30" i="98"/>
  <c r="O29" i="45"/>
  <c r="K11" i="68"/>
  <c r="I11" i="68"/>
  <c r="C34" i="97"/>
  <c r="C63" i="97"/>
  <c r="C67" i="97" s="1"/>
  <c r="G34" i="45"/>
  <c r="G35" i="45" s="1"/>
  <c r="L10" i="68"/>
  <c r="J10" i="68"/>
  <c r="I25" i="68"/>
  <c r="K25" i="68"/>
  <c r="K22" i="68"/>
  <c r="I22" i="68"/>
  <c r="L25" i="68"/>
  <c r="C16" i="106" s="1"/>
  <c r="D16" i="106" s="1"/>
  <c r="J25" i="68"/>
  <c r="H16" i="4" s="1"/>
  <c r="I22" i="31"/>
  <c r="K22" i="31"/>
  <c r="J22" i="31"/>
  <c r="F61" i="97"/>
  <c r="D63" i="97"/>
  <c r="J16" i="31"/>
  <c r="E14" i="91"/>
  <c r="E15" i="91" s="1"/>
  <c r="D59" i="108"/>
  <c r="F44" i="108"/>
  <c r="F59" i="108" s="1"/>
  <c r="F61" i="108" s="1"/>
  <c r="F65" i="108" s="1"/>
  <c r="L16" i="31"/>
  <c r="K11" i="91"/>
  <c r="G21" i="31"/>
  <c r="H21" i="31"/>
  <c r="H18" i="31"/>
  <c r="D53" i="45"/>
  <c r="P53" i="45" s="1"/>
  <c r="H22" i="68"/>
  <c r="G26" i="68"/>
  <c r="G35" i="31" s="1"/>
  <c r="E32" i="45"/>
  <c r="H40" i="31"/>
  <c r="I32" i="45"/>
  <c r="G9" i="31"/>
  <c r="H9" i="31"/>
  <c r="E29" i="45"/>
  <c r="H11" i="68"/>
  <c r="F27" i="68"/>
  <c r="F35" i="68" s="1"/>
  <c r="F43" i="31" s="1"/>
  <c r="H12" i="4"/>
  <c r="J12" i="4"/>
  <c r="I16" i="31"/>
  <c r="F15" i="91"/>
  <c r="K16" i="31"/>
  <c r="D15" i="4"/>
  <c r="B10" i="4"/>
  <c r="O32" i="45" l="1"/>
  <c r="E16" i="106"/>
  <c r="L11" i="68"/>
  <c r="J11" i="68"/>
  <c r="C8" i="106" s="1"/>
  <c r="E11" i="106"/>
  <c r="C11" i="4"/>
  <c r="C30" i="106"/>
  <c r="K20" i="91"/>
  <c r="J22" i="68"/>
  <c r="C15" i="106" s="1"/>
  <c r="L22" i="68"/>
  <c r="J9" i="31"/>
  <c r="L9" i="31"/>
  <c r="J21" i="31"/>
  <c r="L21" i="31"/>
  <c r="I9" i="31"/>
  <c r="K9" i="31"/>
  <c r="J40" i="31"/>
  <c r="L40" i="31"/>
  <c r="J18" i="31"/>
  <c r="L18" i="31"/>
  <c r="D39" i="97"/>
  <c r="F39" i="97" s="1"/>
  <c r="D67" i="97"/>
  <c r="F67" i="97" s="1"/>
  <c r="F63" i="97"/>
  <c r="B11" i="4"/>
  <c r="D11" i="4"/>
  <c r="D32" i="108"/>
  <c r="F32" i="108" s="1"/>
  <c r="D61" i="108"/>
  <c r="D65" i="108" s="1"/>
  <c r="E11" i="4"/>
  <c r="B38" i="96"/>
  <c r="J16" i="4"/>
  <c r="L20" i="91"/>
  <c r="L17" i="87"/>
  <c r="R17" i="87" s="1"/>
  <c r="H10" i="31"/>
  <c r="G15" i="4"/>
  <c r="H26" i="68"/>
  <c r="H35" i="31" s="1"/>
  <c r="G10" i="31"/>
  <c r="I16" i="4"/>
  <c r="H42" i="31"/>
  <c r="I15" i="4"/>
  <c r="G16" i="4"/>
  <c r="C17" i="106" l="1"/>
  <c r="C40" i="106" s="1"/>
  <c r="D15" i="106"/>
  <c r="F16" i="106"/>
  <c r="D30" i="106"/>
  <c r="E30" i="106" s="1"/>
  <c r="F30" i="106" s="1"/>
  <c r="L18" i="87"/>
  <c r="L22" i="87" s="1"/>
  <c r="O17" i="87"/>
  <c r="D8" i="106"/>
  <c r="E8" i="106" s="1"/>
  <c r="F8" i="106" s="1"/>
  <c r="F11" i="106"/>
  <c r="B32" i="96"/>
  <c r="B30" i="96"/>
  <c r="B28" i="96"/>
  <c r="B26" i="96"/>
  <c r="B24" i="96"/>
  <c r="B22" i="96"/>
  <c r="B20" i="96"/>
  <c r="B18" i="96"/>
  <c r="B16" i="96"/>
  <c r="B14" i="96"/>
  <c r="B12" i="96"/>
  <c r="B10" i="96"/>
  <c r="D40" i="97"/>
  <c r="J42" i="31"/>
  <c r="C43" i="106" s="1"/>
  <c r="L42" i="31"/>
  <c r="L19" i="91"/>
  <c r="K19" i="91"/>
  <c r="K8" i="91"/>
  <c r="L8" i="91"/>
  <c r="J9" i="4"/>
  <c r="H9" i="4"/>
  <c r="L26" i="68"/>
  <c r="L35" i="31" s="1"/>
  <c r="J15" i="4"/>
  <c r="H15" i="4"/>
  <c r="J26" i="68"/>
  <c r="J35" i="31" s="1"/>
  <c r="F44" i="31"/>
  <c r="F45" i="31" s="1"/>
  <c r="K44" i="31"/>
  <c r="C45" i="106" l="1"/>
  <c r="C48" i="106" s="1"/>
  <c r="D43" i="106"/>
  <c r="E15" i="106"/>
  <c r="D17" i="106"/>
  <c r="D40" i="106" s="1"/>
  <c r="B8" i="96"/>
  <c r="B34" i="96"/>
  <c r="F26" i="91"/>
  <c r="L44" i="31"/>
  <c r="E17" i="4" s="1"/>
  <c r="E26" i="91"/>
  <c r="F49" i="31"/>
  <c r="D17" i="4"/>
  <c r="E43" i="106" l="1"/>
  <c r="D45" i="106"/>
  <c r="D48" i="106" s="1"/>
  <c r="F15" i="106"/>
  <c r="F17" i="106" s="1"/>
  <c r="F40" i="106" s="1"/>
  <c r="E17" i="106"/>
  <c r="E40" i="106" s="1"/>
  <c r="A4" i="55"/>
  <c r="A2" i="96"/>
  <c r="A2" i="107" s="1"/>
  <c r="A1" i="96"/>
  <c r="A1" i="107" s="1"/>
  <c r="A4" i="96"/>
  <c r="A4" i="82"/>
  <c r="A4" i="91"/>
  <c r="A4" i="48"/>
  <c r="A7" i="18"/>
  <c r="A4" i="41"/>
  <c r="A3" i="39"/>
  <c r="A3" i="38"/>
  <c r="A1" i="92"/>
  <c r="A4" i="92"/>
  <c r="A4" i="23"/>
  <c r="A4" i="25"/>
  <c r="A3" i="6"/>
  <c r="A3" i="87"/>
  <c r="A4" i="103"/>
  <c r="A4" i="102"/>
  <c r="A4" i="101"/>
  <c r="A4" i="97"/>
  <c r="A3" i="104"/>
  <c r="A5" i="45"/>
  <c r="A4" i="68"/>
  <c r="A3" i="31"/>
  <c r="A3" i="4"/>
  <c r="F43" i="106" l="1"/>
  <c r="F45" i="106" s="1"/>
  <c r="F48" i="106" s="1"/>
  <c r="E45" i="106"/>
  <c r="E48" i="106" s="1"/>
  <c r="E69" i="104"/>
  <c r="F66" i="104"/>
  <c r="E62" i="104"/>
  <c r="F64" i="104"/>
  <c r="F61" i="104"/>
  <c r="F60" i="104"/>
  <c r="F48" i="104"/>
  <c r="F47" i="104"/>
  <c r="E37" i="104"/>
  <c r="E39" i="104" s="1"/>
  <c r="E29" i="104"/>
  <c r="E32" i="104" s="1"/>
  <c r="D27" i="104"/>
  <c r="F27" i="104" s="1"/>
  <c r="E15" i="104"/>
  <c r="E10" i="104"/>
  <c r="F62" i="104" l="1"/>
  <c r="C52" i="104" l="1"/>
  <c r="C57" i="104" s="1"/>
  <c r="C58" i="104" l="1"/>
  <c r="C64" i="104" s="1"/>
  <c r="C26" i="68" l="1"/>
  <c r="G14" i="4"/>
  <c r="D33" i="103"/>
  <c r="F45" i="103"/>
  <c r="F44" i="103"/>
  <c r="D23" i="103"/>
  <c r="F64" i="102"/>
  <c r="E64" i="102"/>
  <c r="D64" i="102"/>
  <c r="E60" i="102"/>
  <c r="D60" i="102"/>
  <c r="E59" i="102"/>
  <c r="D59" i="102"/>
  <c r="F44" i="102"/>
  <c r="F37" i="102"/>
  <c r="F36" i="102"/>
  <c r="F35" i="102"/>
  <c r="E30" i="102"/>
  <c r="D30" i="102"/>
  <c r="F28" i="102"/>
  <c r="F27" i="102"/>
  <c r="F26" i="102"/>
  <c r="F25" i="102"/>
  <c r="F24" i="102"/>
  <c r="F22" i="102"/>
  <c r="F21" i="102"/>
  <c r="F20" i="102"/>
  <c r="F19" i="102"/>
  <c r="F18" i="102"/>
  <c r="F15" i="102"/>
  <c r="F14" i="102"/>
  <c r="F13" i="102"/>
  <c r="F12" i="102"/>
  <c r="F11" i="102"/>
  <c r="F10" i="102"/>
  <c r="G29" i="101"/>
  <c r="E21" i="98"/>
  <c r="E40" i="97"/>
  <c r="D32" i="97"/>
  <c r="F32" i="97" s="1"/>
  <c r="F35" i="97" s="1"/>
  <c r="E27" i="98" l="1"/>
  <c r="F59" i="103"/>
  <c r="F61" i="103" s="1"/>
  <c r="F65" i="103" s="1"/>
  <c r="E41" i="97"/>
  <c r="F40" i="97"/>
  <c r="G31" i="101"/>
  <c r="G40" i="101" s="1"/>
  <c r="G32" i="101"/>
  <c r="F39" i="102"/>
  <c r="F23" i="103"/>
  <c r="F29" i="103" s="1"/>
  <c r="F31" i="103" s="1"/>
  <c r="F40" i="103" s="1"/>
  <c r="D29" i="103"/>
  <c r="D29" i="102"/>
  <c r="D31" i="102" s="1"/>
  <c r="D40" i="102" s="1"/>
  <c r="E34" i="97"/>
  <c r="E33" i="102"/>
  <c r="E61" i="102"/>
  <c r="E65" i="102" s="1"/>
  <c r="I14" i="4"/>
  <c r="F30" i="102"/>
  <c r="F60" i="102"/>
  <c r="D61" i="102"/>
  <c r="D65" i="102" s="1"/>
  <c r="F33" i="103"/>
  <c r="F59" i="102"/>
  <c r="I26" i="68"/>
  <c r="K26" i="68"/>
  <c r="D32" i="102"/>
  <c r="F23" i="102"/>
  <c r="D33" i="102"/>
  <c r="E29" i="98" l="1"/>
  <c r="E38" i="98" s="1"/>
  <c r="E30" i="98"/>
  <c r="F32" i="103"/>
  <c r="D31" i="103"/>
  <c r="D40" i="103" s="1"/>
  <c r="D32" i="103"/>
  <c r="F61" i="102"/>
  <c r="F65" i="102" s="1"/>
  <c r="F33" i="102"/>
  <c r="D33" i="97"/>
  <c r="D41" i="97" l="1"/>
  <c r="F33" i="97"/>
  <c r="F41" i="97" l="1"/>
  <c r="G67" i="101"/>
  <c r="E44" i="96" l="1"/>
  <c r="F44" i="96"/>
  <c r="D43" i="96"/>
  <c r="C44" i="96"/>
  <c r="D44" i="96"/>
  <c r="C18" i="31" l="1"/>
  <c r="C17" i="104" l="1"/>
  <c r="C17" i="31"/>
  <c r="C21" i="31"/>
  <c r="K21" i="31" s="1"/>
  <c r="C20" i="104" l="1"/>
  <c r="I21" i="31"/>
  <c r="C16" i="104"/>
  <c r="C24" i="31"/>
  <c r="C22" i="104" l="1"/>
  <c r="C44" i="104"/>
  <c r="J16" i="87" l="1"/>
  <c r="J17" i="87" s="1"/>
  <c r="J18" i="87" s="1"/>
  <c r="J22" i="87" s="1"/>
  <c r="G18" i="31"/>
  <c r="I18" i="31" l="1"/>
  <c r="K18" i="31"/>
  <c r="D27" i="45"/>
  <c r="P27" i="45" s="1"/>
  <c r="P28" i="45" s="1"/>
  <c r="K27" i="45"/>
  <c r="K33" i="45" s="1"/>
  <c r="I9" i="4"/>
  <c r="G9" i="4"/>
  <c r="I27" i="45"/>
  <c r="I28" i="45"/>
  <c r="C27" i="45"/>
  <c r="I33" i="45" l="1"/>
  <c r="C38" i="102" s="1"/>
  <c r="C33" i="45"/>
  <c r="O27" i="45"/>
  <c r="C38" i="103"/>
  <c r="F67" i="103"/>
  <c r="D33" i="45"/>
  <c r="K28" i="45"/>
  <c r="G17" i="31"/>
  <c r="K17" i="31" s="1"/>
  <c r="E26" i="48"/>
  <c r="E28" i="48"/>
  <c r="E30" i="48"/>
  <c r="F15" i="48"/>
  <c r="C15" i="48"/>
  <c r="C33" i="48" s="1"/>
  <c r="C39" i="48" s="1"/>
  <c r="C40" i="48" s="1"/>
  <c r="E10" i="48"/>
  <c r="I34" i="45" l="1"/>
  <c r="I35" i="45" s="1"/>
  <c r="C39" i="102"/>
  <c r="C40" i="102"/>
  <c r="D38" i="108"/>
  <c r="F38" i="108" s="1"/>
  <c r="P33" i="45"/>
  <c r="D33" i="68" s="1"/>
  <c r="D34" i="68" s="1"/>
  <c r="C38" i="108"/>
  <c r="K34" i="45"/>
  <c r="K35" i="45" s="1"/>
  <c r="I17" i="31"/>
  <c r="I24" i="31" s="1"/>
  <c r="C39" i="103"/>
  <c r="C40" i="103"/>
  <c r="E39" i="108"/>
  <c r="E40" i="108"/>
  <c r="H17" i="31"/>
  <c r="G24" i="31"/>
  <c r="G33" i="31" s="1"/>
  <c r="D40" i="108" l="1"/>
  <c r="D39" i="108"/>
  <c r="G30" i="96"/>
  <c r="G26" i="96"/>
  <c r="G22" i="96"/>
  <c r="G18" i="96"/>
  <c r="G14" i="96"/>
  <c r="G32" i="96"/>
  <c r="G28" i="96"/>
  <c r="G24" i="96"/>
  <c r="G20" i="96"/>
  <c r="G16" i="96"/>
  <c r="G12" i="96"/>
  <c r="C39" i="108"/>
  <c r="C40" i="108"/>
  <c r="J17" i="31"/>
  <c r="L17" i="31"/>
  <c r="L24" i="31" s="1"/>
  <c r="F39" i="108"/>
  <c r="F40" i="108"/>
  <c r="F67" i="108" s="1"/>
  <c r="F43" i="96"/>
  <c r="H24" i="31"/>
  <c r="E43" i="96"/>
  <c r="B12" i="4"/>
  <c r="I13" i="18"/>
  <c r="H13" i="18"/>
  <c r="J24" i="31" l="1"/>
  <c r="C31" i="106" s="1"/>
  <c r="D31" i="106" s="1"/>
  <c r="E31" i="106" s="1"/>
  <c r="F31" i="106" s="1"/>
  <c r="G34" i="96"/>
  <c r="G8" i="96"/>
  <c r="G10" i="96"/>
  <c r="J14" i="18"/>
  <c r="I14" i="18"/>
  <c r="F14" i="18" s="1"/>
  <c r="F16" i="91"/>
  <c r="H33" i="31"/>
  <c r="E12" i="4"/>
  <c r="K13" i="18"/>
  <c r="F54" i="104"/>
  <c r="C12" i="4" l="1"/>
  <c r="E16" i="91"/>
  <c r="K14" i="18"/>
  <c r="K17" i="18" s="1"/>
  <c r="F17" i="18"/>
  <c r="K24" i="31" l="1"/>
  <c r="D12" i="4" l="1"/>
  <c r="G12" i="4" l="1"/>
  <c r="I12" i="4"/>
  <c r="E20" i="68"/>
  <c r="E34" i="31" s="1"/>
  <c r="K27" i="31"/>
  <c r="C27" i="31"/>
  <c r="C23" i="104" l="1"/>
  <c r="C29" i="104" s="1"/>
  <c r="C32" i="104" s="1"/>
  <c r="F34" i="97"/>
  <c r="D13" i="4"/>
  <c r="E27" i="68"/>
  <c r="E35" i="68" s="1"/>
  <c r="I27" i="31"/>
  <c r="C35" i="31"/>
  <c r="K35" i="31"/>
  <c r="E43" i="31" l="1"/>
  <c r="I35" i="31"/>
  <c r="B13" i="4"/>
  <c r="A2" i="91"/>
  <c r="A1" i="91"/>
  <c r="D32" i="91"/>
  <c r="C32" i="91"/>
  <c r="J29" i="91"/>
  <c r="I29" i="91"/>
  <c r="D22" i="91"/>
  <c r="C22" i="91"/>
  <c r="J21" i="91"/>
  <c r="I21" i="91"/>
  <c r="J17" i="91"/>
  <c r="I17" i="91"/>
  <c r="D18" i="91"/>
  <c r="C39" i="97" l="1"/>
  <c r="C40" i="97" s="1"/>
  <c r="C41" i="97" s="1"/>
  <c r="E44" i="31"/>
  <c r="E45" i="31" s="1"/>
  <c r="E33" i="39"/>
  <c r="E34" i="39" s="1"/>
  <c r="B44" i="96"/>
  <c r="G44" i="96"/>
  <c r="J22" i="91"/>
  <c r="J30" i="91" s="1"/>
  <c r="D23" i="91"/>
  <c r="D33" i="91" s="1"/>
  <c r="I22" i="91"/>
  <c r="I30" i="91" s="1"/>
  <c r="C18" i="91"/>
  <c r="C23" i="91" s="1"/>
  <c r="C33" i="91" s="1"/>
  <c r="E49" i="31" l="1"/>
  <c r="D18" i="68"/>
  <c r="D19" i="68" s="1"/>
  <c r="L18" i="68" l="1"/>
  <c r="L15" i="91" s="1"/>
  <c r="L16" i="91" s="1"/>
  <c r="J18" i="68"/>
  <c r="K15" i="91" s="1"/>
  <c r="K16" i="91" s="1"/>
  <c r="B43" i="96"/>
  <c r="D20" i="68" l="1"/>
  <c r="D27" i="68" l="1"/>
  <c r="D35" i="68" s="1"/>
  <c r="C21" i="87"/>
  <c r="F21" i="87" l="1"/>
  <c r="F13" i="87"/>
  <c r="F17" i="87"/>
  <c r="F9" i="104"/>
  <c r="F56" i="104"/>
  <c r="F52" i="104"/>
  <c r="I13" i="87"/>
  <c r="I17" i="87"/>
  <c r="I21" i="87"/>
  <c r="M15" i="87"/>
  <c r="M16" i="87"/>
  <c r="M19" i="87"/>
  <c r="P15" i="87"/>
  <c r="P16" i="87"/>
  <c r="P9" i="87"/>
  <c r="P10" i="87"/>
  <c r="P11" i="87"/>
  <c r="P12" i="87"/>
  <c r="M9" i="87"/>
  <c r="M10" i="87"/>
  <c r="M11" i="87"/>
  <c r="M12" i="87"/>
  <c r="E11" i="48"/>
  <c r="E13" i="48"/>
  <c r="E14" i="48"/>
  <c r="E21" i="48"/>
  <c r="A1" i="25"/>
  <c r="A1" i="87"/>
  <c r="A1" i="90" s="1"/>
  <c r="A1" i="113" s="1"/>
  <c r="G17" i="18"/>
  <c r="A2" i="82"/>
  <c r="A1" i="82"/>
  <c r="A2" i="55"/>
  <c r="A2" i="106" s="1"/>
  <c r="A1" i="55"/>
  <c r="A1" i="106" s="1"/>
  <c r="J17" i="18"/>
  <c r="H17" i="18"/>
  <c r="A2" i="48"/>
  <c r="A5" i="18"/>
  <c r="A4" i="18"/>
  <c r="A1" i="88"/>
  <c r="A1" i="41"/>
  <c r="A1" i="39"/>
  <c r="A1" i="38"/>
  <c r="A1" i="23"/>
  <c r="A1" i="6"/>
  <c r="A2" i="104"/>
  <c r="A2" i="97" s="1"/>
  <c r="A2" i="98" s="1"/>
  <c r="A1" i="45"/>
  <c r="A1" i="104" s="1"/>
  <c r="A1" i="97" s="1"/>
  <c r="A1" i="98" s="1"/>
  <c r="A1" i="31"/>
  <c r="A1" i="68"/>
  <c r="A1" i="48"/>
  <c r="E16" i="18"/>
  <c r="F16" i="18"/>
  <c r="E17" i="18"/>
  <c r="H16" i="18"/>
  <c r="I16" i="18"/>
  <c r="J16" i="18"/>
  <c r="G16" i="18"/>
  <c r="K15" i="18"/>
  <c r="K16" i="18" s="1"/>
  <c r="C9" i="55"/>
  <c r="I17" i="18"/>
  <c r="B22" i="25"/>
  <c r="K12" i="18"/>
  <c r="E15" i="48" l="1"/>
  <c r="E13" i="87"/>
  <c r="G33" i="48"/>
  <c r="E18" i="18"/>
  <c r="E19" i="18" s="1"/>
  <c r="E29" i="48"/>
  <c r="E31" i="48" s="1"/>
  <c r="C8" i="31"/>
  <c r="A1" i="108"/>
  <c r="A1" i="109" s="1"/>
  <c r="A1" i="101" s="1"/>
  <c r="A1" i="102" s="1"/>
  <c r="A1" i="103" s="1"/>
  <c r="A2" i="108"/>
  <c r="A2" i="109" s="1"/>
  <c r="A2" i="101" s="1"/>
  <c r="A2" i="102" s="1"/>
  <c r="A2" i="103" s="1"/>
  <c r="A2" i="87" s="1"/>
  <c r="A2" i="90" s="1"/>
  <c r="A2" i="113" s="1"/>
  <c r="I18" i="18"/>
  <c r="I19" i="18" s="1"/>
  <c r="F53" i="104"/>
  <c r="F58" i="104"/>
  <c r="G32" i="18"/>
  <c r="G21" i="18" s="1"/>
  <c r="G18" i="18"/>
  <c r="G19" i="18" s="1"/>
  <c r="F18" i="18"/>
  <c r="F19" i="18" s="1"/>
  <c r="D33" i="48"/>
  <c r="D39" i="48" s="1"/>
  <c r="F33" i="48"/>
  <c r="F39" i="48" s="1"/>
  <c r="F40" i="48" s="1"/>
  <c r="K18" i="18"/>
  <c r="K19" i="18" s="1"/>
  <c r="F50" i="104"/>
  <c r="F18" i="87"/>
  <c r="F22" i="87" s="1"/>
  <c r="M21" i="87"/>
  <c r="P8" i="87"/>
  <c r="P13" i="87" s="1"/>
  <c r="M8" i="87"/>
  <c r="M13" i="87" s="1"/>
  <c r="C18" i="87"/>
  <c r="C22" i="87" s="1"/>
  <c r="M17" i="87"/>
  <c r="P17" i="87"/>
  <c r="H18" i="18"/>
  <c r="H19" i="18" s="1"/>
  <c r="J18" i="18"/>
  <c r="J19" i="18" s="1"/>
  <c r="I18" i="87"/>
  <c r="I22" i="87" s="1"/>
  <c r="I8" i="31" l="1"/>
  <c r="K8" i="31"/>
  <c r="E18" i="87"/>
  <c r="E22" i="87" s="1"/>
  <c r="C8" i="104"/>
  <c r="C10" i="104" s="1"/>
  <c r="C28" i="104" s="1"/>
  <c r="D8" i="31"/>
  <c r="L8" i="31" s="1"/>
  <c r="D40" i="48"/>
  <c r="E39" i="48"/>
  <c r="E40" i="48" s="1"/>
  <c r="E33" i="48"/>
  <c r="A2" i="25"/>
  <c r="A2" i="23" s="1"/>
  <c r="D22" i="87"/>
  <c r="R13" i="87"/>
  <c r="O13" i="87"/>
  <c r="C10" i="31"/>
  <c r="F57" i="104"/>
  <c r="M18" i="87"/>
  <c r="M22" i="87" s="1"/>
  <c r="F22" i="91"/>
  <c r="F35" i="104"/>
  <c r="D39" i="104"/>
  <c r="F39" i="104" s="1"/>
  <c r="F59" i="104"/>
  <c r="P18" i="87"/>
  <c r="P22" i="87" s="1"/>
  <c r="C30" i="104" l="1"/>
  <c r="C33" i="31"/>
  <c r="C45" i="31" s="1"/>
  <c r="D8" i="104"/>
  <c r="F8" i="104" s="1"/>
  <c r="J8" i="31"/>
  <c r="C40" i="104"/>
  <c r="A2" i="92"/>
  <c r="D29" i="104"/>
  <c r="F29" i="104" s="1"/>
  <c r="D15" i="104"/>
  <c r="F37" i="104"/>
  <c r="D35" i="97"/>
  <c r="K21" i="91"/>
  <c r="F29" i="91"/>
  <c r="F32" i="91" s="1"/>
  <c r="A2" i="38" l="1"/>
  <c r="A2" i="39" s="1"/>
  <c r="A2" i="41" s="1"/>
  <c r="A2" i="40" s="1"/>
  <c r="A2" i="88" s="1"/>
  <c r="F15" i="104"/>
  <c r="D10" i="104"/>
  <c r="E8" i="91"/>
  <c r="D10" i="31"/>
  <c r="F8" i="91"/>
  <c r="F49" i="104"/>
  <c r="E22" i="91"/>
  <c r="D32" i="104"/>
  <c r="F32" i="104" s="1"/>
  <c r="L21" i="91"/>
  <c r="D34" i="97"/>
  <c r="D33" i="31" l="1"/>
  <c r="D45" i="31" s="1"/>
  <c r="D49" i="31" s="1"/>
  <c r="D34" i="31"/>
  <c r="F10" i="104"/>
  <c r="C49" i="104"/>
  <c r="C63" i="104" s="1"/>
  <c r="C31" i="104" s="1"/>
  <c r="K17" i="91"/>
  <c r="K22" i="91" s="1"/>
  <c r="C34" i="31"/>
  <c r="L27" i="91"/>
  <c r="L29" i="91" s="1"/>
  <c r="L17" i="91"/>
  <c r="L22" i="91" s="1"/>
  <c r="K34" i="68"/>
  <c r="I18" i="4" l="1"/>
  <c r="C65" i="104"/>
  <c r="C27" i="68"/>
  <c r="L30" i="91"/>
  <c r="E48" i="45" l="1"/>
  <c r="H19" i="68"/>
  <c r="C28" i="45"/>
  <c r="G19" i="68"/>
  <c r="O48" i="45" l="1"/>
  <c r="O28" i="45" s="1"/>
  <c r="K19" i="68"/>
  <c r="K20" i="68" s="1"/>
  <c r="K27" i="68" s="1"/>
  <c r="K35" i="68" s="1"/>
  <c r="I19" i="68"/>
  <c r="J19" i="68"/>
  <c r="C12" i="106" s="1"/>
  <c r="L19" i="68"/>
  <c r="L20" i="68" s="1"/>
  <c r="E28" i="45"/>
  <c r="E53" i="45"/>
  <c r="O53" i="45" s="1"/>
  <c r="D28" i="45"/>
  <c r="G20" i="68"/>
  <c r="G34" i="31" s="1"/>
  <c r="H20" i="68"/>
  <c r="H34" i="31" s="1"/>
  <c r="G13" i="4" l="1"/>
  <c r="G17" i="4" s="1"/>
  <c r="I20" i="68"/>
  <c r="D12" i="106"/>
  <c r="C13" i="106"/>
  <c r="C18" i="106" s="1"/>
  <c r="C23" i="106" s="1"/>
  <c r="L27" i="68"/>
  <c r="L35" i="68" s="1"/>
  <c r="E33" i="45"/>
  <c r="O33" i="45" s="1"/>
  <c r="C33" i="68" s="1"/>
  <c r="C34" i="68" s="1"/>
  <c r="J20" i="68"/>
  <c r="H27" i="68"/>
  <c r="H35" i="68" s="1"/>
  <c r="D34" i="45"/>
  <c r="P34" i="45" s="1"/>
  <c r="J13" i="4"/>
  <c r="I13" i="4"/>
  <c r="H13" i="4"/>
  <c r="H17" i="4" s="1"/>
  <c r="G27" i="68"/>
  <c r="G35" i="68" s="1"/>
  <c r="I17" i="4" l="1"/>
  <c r="I19" i="4" s="1"/>
  <c r="I23" i="4" s="1"/>
  <c r="E12" i="106"/>
  <c r="D13" i="106"/>
  <c r="D18" i="106" s="1"/>
  <c r="D23" i="106" s="1"/>
  <c r="C38" i="109"/>
  <c r="C39" i="109" s="1"/>
  <c r="F38" i="109"/>
  <c r="E40" i="109"/>
  <c r="G43" i="31"/>
  <c r="I43" i="31" s="1"/>
  <c r="C34" i="45"/>
  <c r="J17" i="4"/>
  <c r="J19" i="4" s="1"/>
  <c r="E34" i="45"/>
  <c r="E35" i="45" s="1"/>
  <c r="H43" i="31"/>
  <c r="J43" i="31" s="1"/>
  <c r="D35" i="45"/>
  <c r="P35" i="45" s="1"/>
  <c r="G38" i="96"/>
  <c r="J27" i="68"/>
  <c r="I27" i="68"/>
  <c r="C40" i="109" l="1"/>
  <c r="F12" i="106"/>
  <c r="F13" i="106" s="1"/>
  <c r="F18" i="106" s="1"/>
  <c r="F23" i="106" s="1"/>
  <c r="E13" i="106"/>
  <c r="E18" i="106" s="1"/>
  <c r="E23" i="106" s="1"/>
  <c r="C35" i="45"/>
  <c r="O35" i="45" s="1"/>
  <c r="O34" i="45"/>
  <c r="J23" i="4"/>
  <c r="F39" i="109"/>
  <c r="F40" i="109"/>
  <c r="F67" i="109" s="1"/>
  <c r="I33" i="68"/>
  <c r="D31" i="23" s="1"/>
  <c r="D32" i="23" s="1"/>
  <c r="L37" i="91"/>
  <c r="H44" i="31"/>
  <c r="H45" i="31" s="1"/>
  <c r="I44" i="31"/>
  <c r="G44" i="31"/>
  <c r="G45" i="31" s="1"/>
  <c r="G49" i="31" s="1"/>
  <c r="C52" i="106"/>
  <c r="C35" i="68" l="1"/>
  <c r="C49" i="31" s="1"/>
  <c r="C68" i="104"/>
  <c r="C69" i="104" s="1"/>
  <c r="C70" i="104" s="1"/>
  <c r="D35" i="23"/>
  <c r="C43" i="96"/>
  <c r="H49" i="31"/>
  <c r="I34" i="68" l="1"/>
  <c r="G18" i="4" s="1"/>
  <c r="G19" i="4" s="1"/>
  <c r="G43" i="96"/>
  <c r="B17" i="4"/>
  <c r="I35" i="68" l="1"/>
  <c r="G23" i="4" l="1"/>
  <c r="K36" i="68"/>
  <c r="K10" i="31"/>
  <c r="I10" i="31"/>
  <c r="B9" i="4" l="1"/>
  <c r="B16" i="4" s="1"/>
  <c r="I33" i="31"/>
  <c r="I45" i="31" s="1"/>
  <c r="I49" i="31" s="1"/>
  <c r="K33" i="31"/>
  <c r="K45" i="31" s="1"/>
  <c r="K49" i="31" s="1"/>
  <c r="B18" i="4"/>
  <c r="B24" i="4" s="1"/>
  <c r="I34" i="31"/>
  <c r="K34" i="31"/>
  <c r="D9" i="4"/>
  <c r="D16" i="4" l="1"/>
  <c r="D18" i="4" s="1"/>
  <c r="D24" i="4" s="1"/>
  <c r="Q18" i="87"/>
  <c r="Q22" i="87" s="1"/>
  <c r="N18" i="87"/>
  <c r="N22" i="87" s="1"/>
  <c r="F10" i="91" l="1"/>
  <c r="F11" i="91" s="1"/>
  <c r="F18" i="91" s="1"/>
  <c r="F23" i="91" s="1"/>
  <c r="F33" i="91" s="1"/>
  <c r="L10" i="31"/>
  <c r="O18" i="87"/>
  <c r="O22" i="87" s="1"/>
  <c r="R18" i="87"/>
  <c r="R22" i="87" s="1"/>
  <c r="L34" i="31" l="1"/>
  <c r="L33" i="31"/>
  <c r="L45" i="31" s="1"/>
  <c r="E9" i="4"/>
  <c r="E16" i="4" s="1"/>
  <c r="E18" i="4" s="1"/>
  <c r="J10" i="31"/>
  <c r="J33" i="31" s="1"/>
  <c r="E10" i="91"/>
  <c r="E11" i="91" s="1"/>
  <c r="E18" i="91" s="1"/>
  <c r="E23" i="91" s="1"/>
  <c r="J34" i="31" l="1"/>
  <c r="C29" i="106"/>
  <c r="C9" i="4"/>
  <c r="C16" i="4" s="1"/>
  <c r="L49" i="31"/>
  <c r="D37" i="98"/>
  <c r="D38" i="98" s="1"/>
  <c r="E24" i="4" l="1"/>
  <c r="F36" i="91"/>
  <c r="F38" i="91" s="1"/>
  <c r="D29" i="106"/>
  <c r="C33" i="106"/>
  <c r="C38" i="106" s="1"/>
  <c r="C49" i="106" s="1"/>
  <c r="D68" i="104"/>
  <c r="D69" i="104" s="1"/>
  <c r="J33" i="68"/>
  <c r="F37" i="98"/>
  <c r="F38" i="98" s="1"/>
  <c r="E28" i="91"/>
  <c r="E29" i="91" s="1"/>
  <c r="E32" i="91" s="1"/>
  <c r="E33" i="91" s="1"/>
  <c r="J44" i="31"/>
  <c r="J45" i="31" s="1"/>
  <c r="C17" i="4" l="1"/>
  <c r="C39" i="106"/>
  <c r="D33" i="106"/>
  <c r="E29" i="106"/>
  <c r="F68" i="104"/>
  <c r="F69" i="104"/>
  <c r="K26" i="91"/>
  <c r="K27" i="91" s="1"/>
  <c r="K29" i="91" s="1"/>
  <c r="K30" i="91" s="1"/>
  <c r="E31" i="23"/>
  <c r="E32" i="23" s="1"/>
  <c r="E35" i="23" s="1"/>
  <c r="J34" i="68"/>
  <c r="E36" i="91" l="1"/>
  <c r="E38" i="91" s="1"/>
  <c r="C18" i="4"/>
  <c r="F29" i="106"/>
  <c r="F33" i="106" s="1"/>
  <c r="E33" i="106"/>
  <c r="D38" i="106"/>
  <c r="D49" i="106" s="1"/>
  <c r="D51" i="106" s="1"/>
  <c r="D39" i="106"/>
  <c r="F65" i="98"/>
  <c r="G38" i="98"/>
  <c r="J35" i="68"/>
  <c r="H18" i="4"/>
  <c r="H19" i="4" s="1"/>
  <c r="C24" i="4" s="1"/>
  <c r="C51" i="106"/>
  <c r="C53" i="106"/>
  <c r="J49" i="31" l="1"/>
  <c r="L36" i="68"/>
  <c r="E38" i="106"/>
  <c r="E49" i="106" s="1"/>
  <c r="E51" i="106" s="1"/>
  <c r="E39" i="106"/>
  <c r="F38" i="106"/>
  <c r="F49" i="106" s="1"/>
  <c r="F51" i="106" s="1"/>
  <c r="F39" i="106"/>
  <c r="H23" i="4"/>
  <c r="K37" i="91"/>
  <c r="F16" i="102" l="1"/>
  <c r="E29" i="102"/>
  <c r="E32" i="102" s="1"/>
  <c r="F32" i="102" s="1"/>
  <c r="E31" i="102" l="1"/>
  <c r="E40" i="102" s="1"/>
  <c r="F29" i="102"/>
  <c r="F31" i="102" s="1"/>
  <c r="F40" i="102" s="1"/>
  <c r="F67" i="102" s="1"/>
  <c r="E22" i="104"/>
  <c r="E28" i="104" s="1"/>
  <c r="D16" i="104"/>
  <c r="D22" i="104" s="1"/>
  <c r="F22" i="104" l="1"/>
  <c r="D28" i="104"/>
  <c r="F16" i="104"/>
  <c r="E30" i="104"/>
  <c r="E40" i="104" s="1"/>
  <c r="F28" i="104" l="1"/>
  <c r="D30" i="104"/>
  <c r="D40" i="104" l="1"/>
  <c r="F30" i="104"/>
  <c r="F40" i="104" s="1"/>
  <c r="E63" i="104"/>
  <c r="D63" i="104"/>
  <c r="E65" i="104" l="1"/>
  <c r="E70" i="104" s="1"/>
  <c r="E31" i="104"/>
  <c r="D31" i="104"/>
  <c r="D65" i="104"/>
  <c r="F44" i="104"/>
  <c r="F63" i="104" s="1"/>
  <c r="F31" i="104" l="1"/>
  <c r="D70" i="104"/>
  <c r="F70" i="104" s="1"/>
  <c r="F74" i="104" s="1"/>
  <c r="F65" i="104"/>
  <c r="D19" i="90"/>
</calcChain>
</file>

<file path=xl/sharedStrings.xml><?xml version="1.0" encoding="utf-8"?>
<sst xmlns="http://schemas.openxmlformats.org/spreadsheetml/2006/main" count="2467" uniqueCount="1011">
  <si>
    <t>Pilisvörösvár Város Önkormányzata három évre való előre tekintés a várható bevételekről és kiadásokról</t>
  </si>
  <si>
    <t xml:space="preserve">Egyéb működési bevételek </t>
  </si>
  <si>
    <t>Könyvkiadás</t>
  </si>
  <si>
    <t>Sorsz.</t>
  </si>
  <si>
    <t>1. a helyi adóból és települési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</si>
  <si>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</si>
  <si>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</si>
  <si>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</si>
  <si>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</si>
  <si>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megtérülés.”</t>
  </si>
  <si>
    <t>2/1. melléklet</t>
  </si>
  <si>
    <t>2/2.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</si>
  <si>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</si>
  <si>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</si>
  <si>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</si>
  <si>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</si>
  <si>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</si>
  <si>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</si>
  <si>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 melléklet</t>
  </si>
  <si>
    <t>10.  melléklet</t>
  </si>
  <si>
    <t>27. melléklet</t>
  </si>
  <si>
    <t>28. melléklet</t>
  </si>
  <si>
    <t>29. melléklet</t>
  </si>
  <si>
    <t xml:space="preserve">Ellátottak pénzbeli juttatásai </t>
  </si>
  <si>
    <t>Egyéb közhatalmi bevételek (igazgatási szolgáltatási díjak, helyszíni, egyéb, helyi adópótlék és bírság)</t>
  </si>
  <si>
    <t>Sor-szám</t>
  </si>
  <si>
    <t xml:space="preserve">Finanszírozási kiadások </t>
  </si>
  <si>
    <t>Működési célú pénzeszközátvétel egyházaktól</t>
  </si>
  <si>
    <t xml:space="preserve">Működési célú pénzeszközátvétel háztartásoktól </t>
  </si>
  <si>
    <t xml:space="preserve">Működési célú pénzeszközátvétel pénzügyi vállalkozásoktól </t>
  </si>
  <si>
    <t>Működési célú pénzeszközátvétel önkormányzatoktól</t>
  </si>
  <si>
    <t>Működési célú pénzeszközátvétel vállalkozástól (Vízművek Kft)</t>
  </si>
  <si>
    <t xml:space="preserve">Működési célú pénzeszközátvétel az Európai Unió költségvetéséből </t>
  </si>
  <si>
    <t xml:space="preserve">Működési célú pénzeszközátvétel kormányoktól és nemzetközi szervezetektől </t>
  </si>
  <si>
    <t>Működési célú pénzeszközátvétel egyéb külföldi forrásból</t>
  </si>
  <si>
    <t xml:space="preserve">Működési célú garancia- és kezességvállalásból származó megtérülések államháztartáson kívülről </t>
  </si>
  <si>
    <t xml:space="preserve">Felhalmozási célú pénzeszközátvétel non-profit szervezetektől </t>
  </si>
  <si>
    <t xml:space="preserve">Felhalmozási célú pénzeszközátvétel egyházaktól </t>
  </si>
  <si>
    <t xml:space="preserve">Felhalmozási célú pénzeszközátvétel pénzügyi vállalkozásoktól </t>
  </si>
  <si>
    <t>Felhalmozási célú pénzeszközátvétel önkormányzati többségi tulajdonú vállalkozástól</t>
  </si>
  <si>
    <t xml:space="preserve">Felhalmozási célra kapott juttatások az Európai Unió költségvetéséből </t>
  </si>
  <si>
    <t>Felhalmozási célra kapott juttatások kormányoktól és nemzetközi szervezetektől</t>
  </si>
  <si>
    <t xml:space="preserve">Felhalmozási célra kapott juttatások egyéb külföldi forrásból </t>
  </si>
  <si>
    <t xml:space="preserve">Felhalmozási célú garancia- és kezességvállalásból származó megtérülések államháztartáson kívülről </t>
  </si>
  <si>
    <t>Sorszám</t>
  </si>
  <si>
    <t>Települési támogatások - Rendkívüli települési támogatás</t>
  </si>
  <si>
    <t xml:space="preserve">BEVÉTELEK ÖSSZESEN </t>
  </si>
  <si>
    <t>Bevételek</t>
  </si>
  <si>
    <t>Kiadások</t>
  </si>
  <si>
    <t>mutató</t>
  </si>
  <si>
    <t>összesen Ft:</t>
  </si>
  <si>
    <t>Értékesített tárgyi eszközök, immateriális javak általános forgalmi adója (felhalmozási bevétel áfa bevétele)</t>
  </si>
  <si>
    <t>B406</t>
  </si>
  <si>
    <t>B115-B116</t>
  </si>
  <si>
    <t>Működési célú központosított előirányzatok, Helyi önkormányzatok kiegészítő támogatásai</t>
  </si>
  <si>
    <t xml:space="preserve">B6 Működési célú pénzeszközátvételek államháztartáson kívülről </t>
  </si>
  <si>
    <t xml:space="preserve">B7 Felhalmozási célú pénzeszközátvételek államháztartáson kívülről </t>
  </si>
  <si>
    <t>Gyermekétkeztetés támogatása (arányosított létszámmal)</t>
  </si>
  <si>
    <t xml:space="preserve">III. 5. Gyermekétkeztetés támogatása </t>
  </si>
  <si>
    <t>Városi Napos Oldal Szociális Központ</t>
  </si>
  <si>
    <t>Általános forgalmi adó visszatérülése</t>
  </si>
  <si>
    <t>25</t>
  </si>
  <si>
    <t>27</t>
  </si>
  <si>
    <t>K123</t>
  </si>
  <si>
    <t>Reprezentáció</t>
  </si>
  <si>
    <t>Tartalékok összesen</t>
  </si>
  <si>
    <t>Irányító szervi támogatások folyósítása</t>
  </si>
  <si>
    <t>MFB-s fejlesztési célhitel (szennyvíztisztító telep és csatorna hálózat fejlesztés) törlesztése</t>
  </si>
  <si>
    <t>K11-K122</t>
  </si>
  <si>
    <t>K1107</t>
  </si>
  <si>
    <t xml:space="preserve"> - ebből Cafeteria (tájékoztató adat)</t>
  </si>
  <si>
    <t>Működési bevételek összesen</t>
  </si>
  <si>
    <t>Felhalmozási bevételek összesen</t>
  </si>
  <si>
    <t>Városi Napos Oldal Szociális Központ összesen:</t>
  </si>
  <si>
    <t>Német Nemzetiségi Óvoda</t>
  </si>
  <si>
    <t>Magánszemélyek kommunális adója</t>
  </si>
  <si>
    <t>Helyi iparűzési adó</t>
  </si>
  <si>
    <t>Helyi adó pótlék, bírság</t>
  </si>
  <si>
    <t>Egyéb közhatalmi bevételek</t>
  </si>
  <si>
    <t>Önkormányzati lakás lakbér</t>
  </si>
  <si>
    <t>B341</t>
  </si>
  <si>
    <t>B351</t>
  </si>
  <si>
    <t>B35</t>
  </si>
  <si>
    <t>Termékek és szolgáltatások adói</t>
  </si>
  <si>
    <t>Közvetített szolgáltatások értéke (továbbszámlázott szolgáltatások)</t>
  </si>
  <si>
    <t>Csatorna bérbeadás</t>
  </si>
  <si>
    <t>Betét után kapott kamat</t>
  </si>
  <si>
    <t>Egyéb kamatbevételek</t>
  </si>
  <si>
    <t>B403, B406</t>
  </si>
  <si>
    <t>B402, B406</t>
  </si>
  <si>
    <t>B401, B406</t>
  </si>
  <si>
    <t>Köztemető</t>
  </si>
  <si>
    <t xml:space="preserve">Szolgáltatások ellenértéke </t>
  </si>
  <si>
    <t>Krízis segély</t>
  </si>
  <si>
    <t>Települési támogatások - Lakhatáshoz kapcs. Rendszeres kiadások viseléséhez</t>
  </si>
  <si>
    <t>Települési támogatások - A 18. életévét betöltött tartósan beteg hozzátartozójának az ápolását, gondozását végző személy részére</t>
  </si>
  <si>
    <t>K502</t>
  </si>
  <si>
    <t>Elvonások és befizetések</t>
  </si>
  <si>
    <t>Német Nemzetiségi Önkormányzat  részére támogatás</t>
  </si>
  <si>
    <t>K507</t>
  </si>
  <si>
    <t>Működési célú garancia- és kezességvállalásból származó kifizetés államháztartáson kívülre</t>
  </si>
  <si>
    <t>K508</t>
  </si>
  <si>
    <t>Működési célú visszatérítendő támogatások, kölcsönök nyújtása államháztartáson kívülre</t>
  </si>
  <si>
    <t>K509</t>
  </si>
  <si>
    <t>Árkiegészítések, ártámogatások</t>
  </si>
  <si>
    <t>K510</t>
  </si>
  <si>
    <t>Kamattámogatások</t>
  </si>
  <si>
    <t xml:space="preserve">Civil szervezetek működési támogatása </t>
  </si>
  <si>
    <t>Tartalékok</t>
  </si>
  <si>
    <t>Támogatási bevételek összesen</t>
  </si>
  <si>
    <t>B1-B2</t>
  </si>
  <si>
    <t>Összesen:</t>
  </si>
  <si>
    <t>Vagyoni típusú adó</t>
  </si>
  <si>
    <t>B34</t>
  </si>
  <si>
    <t xml:space="preserve">Hosszú lejáratú hitelek, kölcsönök felvétele </t>
  </si>
  <si>
    <t>B8111</t>
  </si>
  <si>
    <t>Pilisvörösvár Város Önkormányzat  2015. évi költségvetése</t>
  </si>
  <si>
    <t>kötelező feladatok</t>
  </si>
  <si>
    <t>önként vállalt feladatok</t>
  </si>
  <si>
    <t xml:space="preserve">Egyéb közhatalmi bevételek </t>
  </si>
  <si>
    <t>Egyéb felhalmozási célú támogatások államháztartáson belülre</t>
  </si>
  <si>
    <t xml:space="preserve">Tartalékok-Működési célú </t>
  </si>
  <si>
    <t>Termékek és szolgáltatások adói (Helyi iparűzési adó, gépjármű adó)</t>
  </si>
  <si>
    <t>Vagyoni típusú adó (magánszemélyek kommunális adója)</t>
  </si>
  <si>
    <t>Rovatszám</t>
  </si>
  <si>
    <t>4</t>
  </si>
  <si>
    <t>5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</si>
  <si>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</si>
  <si>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</si>
  <si>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</si>
  <si>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</si>
  <si>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</si>
  <si>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</si>
  <si>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</si>
  <si>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</si>
  <si>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</si>
  <si>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</si>
  <si>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</si>
  <si>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24</t>
  </si>
  <si>
    <t>29</t>
  </si>
  <si>
    <t>30</t>
  </si>
  <si>
    <t>K84</t>
  </si>
  <si>
    <t>Hitel-, kölcsöntörlesztés államháztartáson kívülre</t>
  </si>
  <si>
    <t>Megnevezése</t>
  </si>
  <si>
    <t>K41</t>
  </si>
  <si>
    <t>Társadalombiztosítási ellátások</t>
  </si>
  <si>
    <t>K42</t>
  </si>
  <si>
    <t>Természetbeni támogatás (Rendszeres gyermekvédelmi kedvezményhez kapcsolódó)</t>
  </si>
  <si>
    <t>70 éven felüliek karácsonyi ajándékutalványa</t>
  </si>
  <si>
    <t>Családi támogatások</t>
  </si>
  <si>
    <t>K48</t>
  </si>
  <si>
    <t>Köztemetés</t>
  </si>
  <si>
    <t>Egyéb nem intézményi ellátások</t>
  </si>
  <si>
    <t>Cofog</t>
  </si>
  <si>
    <t>011130</t>
  </si>
  <si>
    <t xml:space="preserve">Igazgatási tevékenység </t>
  </si>
  <si>
    <t>013320</t>
  </si>
  <si>
    <t>013350</t>
  </si>
  <si>
    <t>045160</t>
  </si>
  <si>
    <t>051030</t>
  </si>
  <si>
    <t>064010</t>
  </si>
  <si>
    <t>Közvilágítás</t>
  </si>
  <si>
    <t>066010</t>
  </si>
  <si>
    <t>066020</t>
  </si>
  <si>
    <t>081030</t>
  </si>
  <si>
    <t>Rovat-szám</t>
  </si>
  <si>
    <t>K1</t>
  </si>
  <si>
    <t xml:space="preserve">Személyi juttatások </t>
  </si>
  <si>
    <t>K2</t>
  </si>
  <si>
    <t xml:space="preserve">Munkaadókat terhelő járulékok és szociális hozzájárulási adó                                                                            </t>
  </si>
  <si>
    <t>K3</t>
  </si>
  <si>
    <t xml:space="preserve">Dologi kiadások </t>
  </si>
  <si>
    <t>K4</t>
  </si>
  <si>
    <t>K506</t>
  </si>
  <si>
    <t>Egyéb működési célú támogatások államháztartáson belülre</t>
  </si>
  <si>
    <t>Egyéb működési célú támogatások államháztartáson kívülre</t>
  </si>
  <si>
    <t>K512</t>
  </si>
  <si>
    <t>Tartalékok-általános</t>
  </si>
  <si>
    <t>Tartalékok-Nevesített fejlesztési</t>
  </si>
  <si>
    <t>K5</t>
  </si>
  <si>
    <t xml:space="preserve">Egyéb működési célú kiadások </t>
  </si>
  <si>
    <t>K6</t>
  </si>
  <si>
    <t>K7</t>
  </si>
  <si>
    <t xml:space="preserve">Felújítások </t>
  </si>
  <si>
    <t>K88</t>
  </si>
  <si>
    <t xml:space="preserve">Egyéb felhalmozási célú támogatások államháztartáson kívülre </t>
  </si>
  <si>
    <t>K8</t>
  </si>
  <si>
    <t xml:space="preserve">Egyéb felhalmozási célú kiadások </t>
  </si>
  <si>
    <t>K1-K8</t>
  </si>
  <si>
    <t xml:space="preserve">Költségvetési kiadások </t>
  </si>
  <si>
    <t>K911</t>
  </si>
  <si>
    <t xml:space="preserve">Hitel-, kölcsöntörlesztés államháztartáson kívülre </t>
  </si>
  <si>
    <t>K912</t>
  </si>
  <si>
    <t xml:space="preserve">Belföldi értékpapírok kiadásai </t>
  </si>
  <si>
    <t>K91</t>
  </si>
  <si>
    <t xml:space="preserve">Belföldi finanszírozás kiadásai </t>
  </si>
  <si>
    <t>K92</t>
  </si>
  <si>
    <t xml:space="preserve">Külföldi finanszírozás kiadásai </t>
  </si>
  <si>
    <t>K93</t>
  </si>
  <si>
    <t>Adóssághoz nem kapcsolódó származékos ügyletek kiadásai</t>
  </si>
  <si>
    <t>K9</t>
  </si>
  <si>
    <t>ezer Ft</t>
  </si>
  <si>
    <t>Működési kiadások összesen</t>
  </si>
  <si>
    <t>Felhalmozási kiadások összesen</t>
  </si>
  <si>
    <t>K915</t>
  </si>
  <si>
    <t>Központi, irányító szervi támogatások folyósítása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</si>
  <si>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</si>
  <si>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</si>
  <si>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</si>
  <si>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</si>
  <si>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</si>
  <si>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</si>
  <si>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</si>
  <si>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</si>
  <si>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</si>
  <si>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</si>
  <si>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Finanszírozási bevételek és kiadások</t>
  </si>
  <si>
    <t xml:space="preserve">Rövid lejáratú hitelek, kölcsönök törlesztése </t>
  </si>
  <si>
    <t>K9113</t>
  </si>
  <si>
    <t>Likviditási célú hitelek, kölcsönök törlesztése pénzügyi vállalkozásnak</t>
  </si>
  <si>
    <t>K9112</t>
  </si>
  <si>
    <t xml:space="preserve">Hosszú lejáratú hitelek, kölcsönök törlesztése </t>
  </si>
  <si>
    <t>K9111</t>
  </si>
  <si>
    <t>Nem veszélyes (települési) hulladék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</si>
  <si>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</si>
  <si>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</si>
  <si>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</si>
  <si>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</si>
  <si>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</si>
  <si>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</si>
  <si>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</si>
  <si>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</si>
  <si>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</si>
  <si>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</si>
  <si>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</si>
  <si>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1.  melléklet</t>
  </si>
  <si>
    <t>ezer Ft-ban</t>
  </si>
  <si>
    <t>Megnevezés</t>
  </si>
  <si>
    <t>11.  melléklet</t>
  </si>
  <si>
    <t>Pilisvörösvár Tipegő Bölcsőde</t>
  </si>
  <si>
    <t>Bevételek (E Ft)</t>
  </si>
  <si>
    <t>Rovat megnevezése</t>
  </si>
  <si>
    <t>Rovat-
szám</t>
  </si>
  <si>
    <t>ÖSSZESEN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</si>
  <si>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</si>
  <si>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</si>
  <si>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</si>
  <si>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</si>
  <si>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</si>
  <si>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</si>
  <si>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</si>
  <si>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</si>
  <si>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 xml:space="preserve">Önkormányzatok működési támogatásai </t>
  </si>
  <si>
    <t>B11</t>
  </si>
  <si>
    <t>Egyéb működési célú támogatások bevételei államháztartáson belülről</t>
  </si>
  <si>
    <t>B16</t>
  </si>
  <si>
    <t>Működési célú támogatások államháztartáson belülről</t>
  </si>
  <si>
    <t>B1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</si>
  <si>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</si>
  <si>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</si>
  <si>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</si>
  <si>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B2</t>
  </si>
  <si>
    <t>B354</t>
  </si>
  <si>
    <t>B36</t>
  </si>
  <si>
    <t xml:space="preserve">Közhatalmi bevételek </t>
  </si>
  <si>
    <t>B3</t>
  </si>
  <si>
    <t>Áru- és készletértékesítés ellenértéke</t>
  </si>
  <si>
    <t>B401</t>
  </si>
  <si>
    <t>Szolgáltatások ellenértéke</t>
  </si>
  <si>
    <t>B402</t>
  </si>
  <si>
    <t>Közvetített szolgáltatások értéke</t>
  </si>
  <si>
    <t>Tulajdonosi bevételek</t>
  </si>
  <si>
    <t>B404</t>
  </si>
  <si>
    <t>Ellátási díjak</t>
  </si>
  <si>
    <t>B405</t>
  </si>
  <si>
    <t>B407</t>
  </si>
  <si>
    <t>Kamatbevételek</t>
  </si>
  <si>
    <t>B408</t>
  </si>
  <si>
    <t xml:space="preserve">Működési bevételek </t>
  </si>
  <si>
    <t>B4</t>
  </si>
  <si>
    <t>Ingatlanok értékesítése</t>
  </si>
  <si>
    <t>B52</t>
  </si>
  <si>
    <t>Egyéb tárgyi eszközök értékesítése</t>
  </si>
  <si>
    <t>B53</t>
  </si>
  <si>
    <t xml:space="preserve">Felhalmozási bevételek </t>
  </si>
  <si>
    <t>B5</t>
  </si>
  <si>
    <t>Egyéb működési célú átvett pénzeszközök</t>
  </si>
  <si>
    <t>B63</t>
  </si>
  <si>
    <t xml:space="preserve">Működési célú átvett pénzeszközök </t>
  </si>
  <si>
    <t>B6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</si>
  <si>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</si>
  <si>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</si>
  <si>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</si>
  <si>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</si>
  <si>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 xml:space="preserve">Felhalmozási célú átvett pénzeszközök </t>
  </si>
  <si>
    <t>B7</t>
  </si>
  <si>
    <t xml:space="preserve">Költségvetési bevételek </t>
  </si>
  <si>
    <t>B1-B7</t>
  </si>
  <si>
    <t>költségvetési egyenleg  MŰKÖDÉSI</t>
  </si>
  <si>
    <t>költségvetési egyenleg FELHALMOZÁSI</t>
  </si>
  <si>
    <t>Likviditási célú hitelek, kölcsönök felvétele pénzügyi vállalkozástól</t>
  </si>
  <si>
    <t>B8112</t>
  </si>
  <si>
    <t xml:space="preserve">Hitel-, kölcsönfelvétel államháztartáson kívülről </t>
  </si>
  <si>
    <t>B811</t>
  </si>
  <si>
    <t>Előző év költségvetési maradványának igénybevétele MŰKÖDÉSRE</t>
  </si>
  <si>
    <t>B8131</t>
  </si>
  <si>
    <t>Előző év költségvetési maradványának igénybevétele FELHALMOZÁSRA</t>
  </si>
  <si>
    <t xml:space="preserve">Maradvány igénybevétele </t>
  </si>
  <si>
    <t>B813</t>
  </si>
  <si>
    <t>Központi, irányító szervi támogatás</t>
  </si>
  <si>
    <t>B816</t>
  </si>
  <si>
    <t>Betétek megszüntetése</t>
  </si>
  <si>
    <t>B817</t>
  </si>
  <si>
    <t xml:space="preserve">Belföldi finanszírozás bevételei </t>
  </si>
  <si>
    <t>B81</t>
  </si>
  <si>
    <t>Adóssághoz nem kapcsolódó származékos ügyletek bevételei</t>
  </si>
  <si>
    <t>B83</t>
  </si>
  <si>
    <t xml:space="preserve">Finanszírozási bevételek </t>
  </si>
  <si>
    <t>B8</t>
  </si>
  <si>
    <t>Összesen</t>
  </si>
  <si>
    <t>Általános tartalék</t>
  </si>
  <si>
    <t xml:space="preserve">Beruházások </t>
  </si>
  <si>
    <t>Ligeti Cseperedő Óvoda költségvetése kötelező és önként vállalt feladat szerinti bontásban</t>
  </si>
  <si>
    <t>Kötelezettségek megnevezése</t>
  </si>
  <si>
    <t>Köt.vállalás éve</t>
  </si>
  <si>
    <t>Tárgyév előtti kifizetés</t>
  </si>
  <si>
    <t>Működési célú hiteltörlesztések összesen:</t>
  </si>
  <si>
    <t>Felhalmozási célú hiteltörlesztések</t>
  </si>
  <si>
    <t>Beruházások összesen:</t>
  </si>
  <si>
    <t>MINDÖSSZESEN:</t>
  </si>
  <si>
    <t>1.oldal</t>
  </si>
  <si>
    <t>BERUHÁZÁSOK</t>
  </si>
  <si>
    <t>Megnevezés:</t>
  </si>
  <si>
    <t>K61 Immateriális javak beszerzése, létesítése</t>
  </si>
  <si>
    <t>Informatika fejlesztési kiadásokra</t>
  </si>
  <si>
    <t>K62 Ingatlanok beszerzése, létesítése</t>
  </si>
  <si>
    <t>K63 Informatikai eszközök beszerzése, létesítése</t>
  </si>
  <si>
    <t>K64 Egyéb tárgyi eszközök beszerzése, létesítése</t>
  </si>
  <si>
    <t>K65 Részesedések beszerzése</t>
  </si>
  <si>
    <t>K66 Meglévő részesedések növeléséhez kapcsolódó kiadások</t>
  </si>
  <si>
    <t xml:space="preserve">K6 Beruházások </t>
  </si>
  <si>
    <t>FELÚJÍTÁSOK</t>
  </si>
  <si>
    <t>K71 Ingatlanok felújítása</t>
  </si>
  <si>
    <t>K72 Informatikai eszközök felújítása</t>
  </si>
  <si>
    <t xml:space="preserve">K73 Egyéb tárgyi eszközök felújítása </t>
  </si>
  <si>
    <t xml:space="preserve">K7 Felújítások </t>
  </si>
  <si>
    <t>Fejlesztési célú nevesített tartalékok összesen</t>
  </si>
  <si>
    <t>Működési célú tartalékok összesen</t>
  </si>
  <si>
    <t>Városrehabilitációs tartalék (Bérlakás számla)</t>
  </si>
  <si>
    <t>Nyilvántartási szám</t>
  </si>
  <si>
    <t>Kezességvállalás</t>
  </si>
  <si>
    <t xml:space="preserve">R-ÖKIF/032900/2010/RAIF/KOKJ/001 </t>
  </si>
  <si>
    <t>Ft-ban</t>
  </si>
  <si>
    <t>Jogcím</t>
  </si>
  <si>
    <t>A HELYI ÖNKORMÁNYZATOK MŰKÖDÉSÉNEK  TÁMOGATÁSA BESZÁMÍTÁS ÉS KIEGÉSZÍTÉS UTÁN ÖSSZESEN</t>
  </si>
  <si>
    <t>Irányító szervi támogatás</t>
  </si>
  <si>
    <t>Helyiség bérlet és egyéb bevételek</t>
  </si>
  <si>
    <t>Városi Könyvtár egyéb bevétele</t>
  </si>
  <si>
    <t>Működési célú támogatások bevételei államháztartáson belülről</t>
  </si>
  <si>
    <t>Felhalmozási célú támogatások bevételei államháztartáson belülről</t>
  </si>
  <si>
    <t>K1-K5</t>
  </si>
  <si>
    <t>K6-K8</t>
  </si>
  <si>
    <t>B1-B8</t>
  </si>
  <si>
    <t xml:space="preserve">KIADÁSOK ÖSSZESEN </t>
  </si>
  <si>
    <t>Tartalomjegyzék</t>
  </si>
  <si>
    <t>Melléklet</t>
  </si>
  <si>
    <t>Cím</t>
  </si>
  <si>
    <t xml:space="preserve">1. melléklet </t>
  </si>
  <si>
    <t xml:space="preserve">3. melléklet </t>
  </si>
  <si>
    <t xml:space="preserve">4. melléklet </t>
  </si>
  <si>
    <t xml:space="preserve">5. melléklet </t>
  </si>
  <si>
    <t xml:space="preserve">6. melléklet </t>
  </si>
  <si>
    <t xml:space="preserve">7. melléklet </t>
  </si>
  <si>
    <t xml:space="preserve">8. melléklet </t>
  </si>
  <si>
    <t xml:space="preserve">9. melléklet </t>
  </si>
  <si>
    <t xml:space="preserve">10. melléklet </t>
  </si>
  <si>
    <t xml:space="preserve">11. melléklet </t>
  </si>
  <si>
    <t xml:space="preserve">12. melléklet </t>
  </si>
  <si>
    <t xml:space="preserve">13. melléklet </t>
  </si>
  <si>
    <t xml:space="preserve">Pilisvörösvár Város Önkormányzata intézményi normatíva kimutatása  </t>
  </si>
  <si>
    <t xml:space="preserve">14. melléklet </t>
  </si>
  <si>
    <t xml:space="preserve">15. melléklet </t>
  </si>
  <si>
    <t xml:space="preserve">16. melléklet </t>
  </si>
  <si>
    <t xml:space="preserve">17. melléklet </t>
  </si>
  <si>
    <t>Pilisvörösvár Város Önkormányzata finanszírozási bevételei és kiadásai</t>
  </si>
  <si>
    <t xml:space="preserve">18. melléklet </t>
  </si>
  <si>
    <t xml:space="preserve">19. melléklet </t>
  </si>
  <si>
    <t xml:space="preserve">20. melléklet </t>
  </si>
  <si>
    <t xml:space="preserve">21. melléklet </t>
  </si>
  <si>
    <t xml:space="preserve">22. melléklet </t>
  </si>
  <si>
    <t xml:space="preserve">23. melléklet </t>
  </si>
  <si>
    <t xml:space="preserve">26. melléklet </t>
  </si>
  <si>
    <t xml:space="preserve">27. melléklet </t>
  </si>
  <si>
    <t xml:space="preserve">28. melléklet </t>
  </si>
  <si>
    <t xml:space="preserve">29. melléklet </t>
  </si>
  <si>
    <t xml:space="preserve">30. melléklet </t>
  </si>
  <si>
    <t>Kamat összesen</t>
  </si>
  <si>
    <t>óvoda-pedagógus, szakalkalmazott</t>
  </si>
  <si>
    <t>összes státusz</t>
  </si>
  <si>
    <t>Pilisvörösvári Német Nemzetiségi Óvoda</t>
  </si>
  <si>
    <t>Művészetek Háza</t>
  </si>
  <si>
    <t>összesen:</t>
  </si>
  <si>
    <t>GESZ</t>
  </si>
  <si>
    <t>közalkalmazott</t>
  </si>
  <si>
    <t>egyéb</t>
  </si>
  <si>
    <t>Szakorvosi Rendelőintézet</t>
  </si>
  <si>
    <t>Szakorvosi Rendelőintézet- teljes munkaidős</t>
  </si>
  <si>
    <t>ebből: védőnői szolgálat:</t>
  </si>
  <si>
    <t>Intézmények mindösszesen:</t>
  </si>
  <si>
    <t>Egyéb dolg.</t>
  </si>
  <si>
    <t>Összes</t>
  </si>
  <si>
    <t>Gépjárműadó</t>
  </si>
  <si>
    <t xml:space="preserve">Január </t>
  </si>
  <si>
    <t>Február</t>
  </si>
  <si>
    <t>Március</t>
  </si>
  <si>
    <t>Április</t>
  </si>
  <si>
    <t xml:space="preserve">Május </t>
  </si>
  <si>
    <t>Június</t>
  </si>
  <si>
    <t>Július</t>
  </si>
  <si>
    <t>Augusztus</t>
  </si>
  <si>
    <t>Szeptember</t>
  </si>
  <si>
    <t xml:space="preserve">Október </t>
  </si>
  <si>
    <t>November</t>
  </si>
  <si>
    <t xml:space="preserve">December </t>
  </si>
  <si>
    <t>Átvett pénzeszközök</t>
  </si>
  <si>
    <t>Támogatás</t>
  </si>
  <si>
    <t>Felhalmozási bevétel</t>
  </si>
  <si>
    <t>Bevételek összesen:</t>
  </si>
  <si>
    <t>Kiadások:</t>
  </si>
  <si>
    <t>Adósságszolgálat</t>
  </si>
  <si>
    <t>Felújitási kiadások</t>
  </si>
  <si>
    <t>Fejlesztési kiadások</t>
  </si>
  <si>
    <t>Tartalék</t>
  </si>
  <si>
    <t>Kiadások összesen :</t>
  </si>
  <si>
    <t>Egyenleg</t>
  </si>
  <si>
    <t>Hónap</t>
  </si>
  <si>
    <t>Polgármesteri Hivatal</t>
  </si>
  <si>
    <t>Ligeti Cseperedő Óvoda</t>
  </si>
  <si>
    <t>ebből egyéb dologi kiadásra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</si>
  <si>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</si>
  <si>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</si>
  <si>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</si>
  <si>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</si>
  <si>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</si>
  <si>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</si>
  <si>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</si>
  <si>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</si>
  <si>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</si>
  <si>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</si>
  <si>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</si>
  <si>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</si>
  <si>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Lakosság részére lakásépítéshez, lakásfelújításhoz nyújtott kölcsönök elengedésének összege</t>
  </si>
  <si>
    <t>Bevétel kedvezmény nélkül</t>
  </si>
  <si>
    <t>Adott kedvezmény</t>
  </si>
  <si>
    <t>Megjegyzés/hivatkozás</t>
  </si>
  <si>
    <t>Kölcsönök elengedése összesen</t>
  </si>
  <si>
    <t>2016. évi Eredeti bevételi előirányzat Összesen</t>
  </si>
  <si>
    <t>2016. évi Konszolidált bevétel eredeti előirányzat</t>
  </si>
  <si>
    <t>Önkormányzat 2016. évi eredeti előirányzat</t>
  </si>
  <si>
    <t>Polgármesteri Hivatal 2016. évi eredeti előirányzat</t>
  </si>
  <si>
    <t>Szakorvosi Rendelőintézet 2016. évi eredeti előirányzat</t>
  </si>
  <si>
    <t>GESZ 2016. évi eredeti előirányzat</t>
  </si>
  <si>
    <t>Ellátottak térítési díjának, illetve kártérítésének méltányossági alapon történő elengedésének összege</t>
  </si>
  <si>
    <t>Helyiségek, eszközök hasznosításából származó bevételből nyújtott kedvezmény, mentesség összege</t>
  </si>
  <si>
    <t>Adott kedvezmény havi összege</t>
  </si>
  <si>
    <t>gyógypedagógia, hitoktatás</t>
  </si>
  <si>
    <t>hitoktatás</t>
  </si>
  <si>
    <t>Egyesületek és  általános iskolák részére</t>
  </si>
  <si>
    <t>Egyéb nyújtott kedvezmény vagy kölcsön elengedésének összege.</t>
  </si>
  <si>
    <t>Egyéb kedvezmények összesen</t>
  </si>
  <si>
    <t xml:space="preserve">Hosszú lejáratú hitelek felvétele </t>
  </si>
  <si>
    <t xml:space="preserve">Belföldi értékpapírok bevételei </t>
  </si>
  <si>
    <t>B812</t>
  </si>
  <si>
    <t xml:space="preserve">Külföldi finanszírozás bevételei </t>
  </si>
  <si>
    <t>B82</t>
  </si>
  <si>
    <t xml:space="preserve">Egyéb felhalmozási célú támogatások államháztartáson belülre </t>
  </si>
  <si>
    <t>Elvonások és befizetések bevételei</t>
  </si>
  <si>
    <t>B12</t>
  </si>
  <si>
    <t xml:space="preserve">Vagyoni tipusú adók </t>
  </si>
  <si>
    <t xml:space="preserve">Termékek és szolgáltatások adói </t>
  </si>
  <si>
    <t xml:space="preserve">Működési bevételek és működési kiadások egyenlege </t>
  </si>
  <si>
    <t xml:space="preserve">Felhalmozási bevételek és a felhalmozási kiadások egyenlege </t>
  </si>
  <si>
    <t>ÖSSZEVONT ELŐIRÁNYZATOK (ÖNKORMÁNYZAT ÉS KÖLTSÉGVETÉSI SZERVEI ÖSSZESEN)</t>
  </si>
  <si>
    <t xml:space="preserve">   - Vörösvár Napok kiadásai</t>
  </si>
  <si>
    <t xml:space="preserve">   - Egyéb Városi rendezvények és nem bevételes rendezvények kiadásai</t>
  </si>
  <si>
    <t xml:space="preserve">   - Egyéb bevételes rendezvények kiadásai</t>
  </si>
  <si>
    <t>K6-K7</t>
  </si>
  <si>
    <t>KIADÁSOK MINDÖSSZESEN (K1-9)</t>
  </si>
  <si>
    <t>BEVÉTELEK MINDÖSSZESEN (B1-8)</t>
  </si>
  <si>
    <t>Egyéb működési célú kiadások összesen</t>
  </si>
  <si>
    <t>Köt.vállalás összege</t>
  </si>
  <si>
    <t xml:space="preserve">31. melléklet </t>
  </si>
  <si>
    <t>Szociális étkeztetés</t>
  </si>
  <si>
    <t>Felhalmozási célú pénzeszközátvétel háztartásoktól (első lakáshoz jutók kölcsönének visszatérülése)</t>
  </si>
  <si>
    <t>Felhalmozási célú pénzeszközátvétel Csatornatársulattól</t>
  </si>
  <si>
    <t>Az Önkormányzat adott évi saját bevételeinek 50 %-a</t>
  </si>
  <si>
    <t>Az önkormányzat adósságot keletkeztető ügyletből származó tárgyévi összes fizetési kötelezettsége az adósságot keletkeztető ügylet futamidejének végéig egyik évben sem haladja meg az önkormányzat adott évi saját bevételeinek 50%-át.</t>
  </si>
  <si>
    <t>Városi rendezvények és partnerkapcsolatok költségei</t>
  </si>
  <si>
    <t xml:space="preserve">2/1. melléklet </t>
  </si>
  <si>
    <t xml:space="preserve">2/2. melléklet </t>
  </si>
  <si>
    <t>14. melléklet</t>
  </si>
  <si>
    <t>Maradvány igénybevétel</t>
  </si>
  <si>
    <t>Pilisvörösvár Város Önkormányzata költségvetési mérlege</t>
  </si>
  <si>
    <t>Helyi adónál, gépjárműadónál biztosított kedvezmény, mentesség összege adónemenként</t>
  </si>
  <si>
    <t>Mentes az adó megfizetése alól, aki a tárgyév január 01-én Pilisvörösváron rendszeres gyermekvédelmi kedvezményre jogosult.</t>
  </si>
  <si>
    <t>Mentes egy telekre az adó megfizetése alól az az adóalany, akinek a telkét valamilyen természetes választóvonal (patak, árok, stb.), vagy vasútvonal, vagy út céljára leválasztott, azonban közterülethez nem csatlakozó, így közútként nem használható terület kettéosztja, s emiatt az ingatlanok tulajdonosa az ingatlanokat nem tudja összevonni.</t>
  </si>
  <si>
    <t>Magánszemélyek kommunális adója összesen:</t>
  </si>
  <si>
    <t>Adókedvezmények összesen:</t>
  </si>
  <si>
    <t>096015</t>
  </si>
  <si>
    <t>közmunkások bruttó bére:</t>
  </si>
  <si>
    <t>közfoglalkoztatottak száma:</t>
  </si>
  <si>
    <t>támogatási százalék</t>
  </si>
  <si>
    <t>hónapok száma:</t>
  </si>
  <si>
    <t>Államháztartáson belüli megelőlegezések visszafizetése</t>
  </si>
  <si>
    <t>K914</t>
  </si>
  <si>
    <t>ÁHB megelőlegezések</t>
  </si>
  <si>
    <t>B814</t>
  </si>
  <si>
    <t>052020</t>
  </si>
  <si>
    <t>Szennyvíz gyűjtése, tisztítása</t>
  </si>
  <si>
    <t>Települési támogatások - Gyógyszerkiadások viseléséhez</t>
  </si>
  <si>
    <t>Pilisvörösvári Tipegő Bölcsöde</t>
  </si>
  <si>
    <t>Időskorúak átmeneti ellátása</t>
  </si>
  <si>
    <t>Fogyatékkal élők nappali ellátása (ÉNO)</t>
  </si>
  <si>
    <t>Idősek nappali ellátása (Klub)</t>
  </si>
  <si>
    <t>Vörösvári Napok bevételei</t>
  </si>
  <si>
    <t>Egyéb rendezvények</t>
  </si>
  <si>
    <t>Beruházások (kis értékű tárgyi eszköz beszerzés)</t>
  </si>
  <si>
    <t>RKO</t>
  </si>
  <si>
    <t>Euribor</t>
  </si>
  <si>
    <t>kamat 3 havi Euribor+RKO1+1,25 % (2,75 %)</t>
  </si>
  <si>
    <t>Kisértékű tárgyi eszközök</t>
  </si>
  <si>
    <t>Hosszú lejáratú hitelek felvétele</t>
  </si>
  <si>
    <t>Pilisvörösvári Tipegő Bölcsőde</t>
  </si>
  <si>
    <t>infláció</t>
  </si>
  <si>
    <t>Finanszírozás</t>
  </si>
  <si>
    <t>Dologi</t>
  </si>
  <si>
    <t>vállalkozási tevékenység</t>
  </si>
  <si>
    <t>Rovatsz.</t>
  </si>
  <si>
    <t>Pályázat bevételek</t>
  </si>
  <si>
    <t>Szociális Intézményfenntartó Társulás által ellátott szociális feladatokhoz adott hozzájárulás</t>
  </si>
  <si>
    <t>Szociális Intézményfenntartó Társulás által ellátott szociális feladatokra az állami támogatás átadása</t>
  </si>
  <si>
    <t>Szociális Intézményfenntartó Társulás részére hozzájárulás a Család- és Gyermekjóléti Központ által ellátott feladatokra</t>
  </si>
  <si>
    <t>Ssz.</t>
  </si>
  <si>
    <t>Szociális Intézményfenntartó Társulás részére a Család- és Gyermekjóléti Központ által ellátott feladatokra az állami támogatás átadása</t>
  </si>
  <si>
    <t>K513</t>
  </si>
  <si>
    <t>Csatornahálózat és szennyvíztisztító telep felújítási és karbantartási tartalék</t>
  </si>
  <si>
    <t>Pilisvörösvár Tipegő Bölcsőde költségvetése kötelező és önként vállalt feladat szerinti bontásban</t>
  </si>
  <si>
    <t>Pilisvörösvár Város Önkormányzata átvett pénzeszközei</t>
  </si>
  <si>
    <t>Pilisvörösvár Város Önkormányzata egyéb működési és felhalmozási célú kiadásai (támogatásértékű kiadások és átadott pénzeszközök)</t>
  </si>
  <si>
    <t>Pilisvörösvár Város Önkormányzata tartalékai</t>
  </si>
  <si>
    <t>Pilisvörösvár Város Önkormányzata több éves fejlesztési célú elkötelezettségei</t>
  </si>
  <si>
    <t>Pilisvörösvár Város Önkormányzata várható bevételi és kiadási előirányzatai teljesüléséről készített előirányzat-felhasználási ütemterv</t>
  </si>
  <si>
    <t>Pilisvörösvár Város Önkormányzata közvetett támogatásai</t>
  </si>
  <si>
    <t>BEVÉTELEK</t>
  </si>
  <si>
    <t xml:space="preserve">KIADÁSOK </t>
  </si>
  <si>
    <t>Kultúr Büfé bevétele</t>
  </si>
  <si>
    <t>KIADÁSOK</t>
  </si>
  <si>
    <t xml:space="preserve">BEVÉTELEK </t>
  </si>
  <si>
    <t>13. melléklet</t>
  </si>
  <si>
    <t>Pályázati önrész tartalék</t>
  </si>
  <si>
    <t>30. melléklet</t>
  </si>
  <si>
    <t>MFB-s fejlesztési célhitel (Raiffeisen Bank Zrt.)</t>
  </si>
  <si>
    <t>Pilisvörösvári Német Nemzetiségi Óvoda költségvetése kötelező és önként vállalt feladat szerinti bontásban</t>
  </si>
  <si>
    <t>Művészetek Háza költségvetése kötelező, önként vállalt és vállakozási feladat szerinti bontásban</t>
  </si>
  <si>
    <t>12. melléklet</t>
  </si>
  <si>
    <t>15. melléklet</t>
  </si>
  <si>
    <t>B75</t>
  </si>
  <si>
    <t>Előző évi elszámolásból adódó kifizetések</t>
  </si>
  <si>
    <t>3</t>
  </si>
  <si>
    <t>6</t>
  </si>
  <si>
    <t>20</t>
  </si>
  <si>
    <t>ÁHB megelőlegezések visszafizetése</t>
  </si>
  <si>
    <t>045120</t>
  </si>
  <si>
    <t>Irányító szerv javára teljesített egyéb befiz. (Pénzmaradvány visszautalás)</t>
  </si>
  <si>
    <t>Szakfeladat</t>
  </si>
  <si>
    <t>062010</t>
  </si>
  <si>
    <t>K513 Tartalékok összesen</t>
  </si>
  <si>
    <t>Zöldterület kezelés (MAZSIHISZ, parkgondozás)</t>
  </si>
  <si>
    <t>091140</t>
  </si>
  <si>
    <t>Óvodai nevelés, ellátás működtetési feladatai</t>
  </si>
  <si>
    <t>053020</t>
  </si>
  <si>
    <t>Szennyeződésmentesítési tevékenységek</t>
  </si>
  <si>
    <t>091220,092111</t>
  </si>
  <si>
    <t>Köznevelési intézmény 1-4. évfolyamán tanulók nevelésével, oktatásával összefüggő működtetési feladatok, Köznevelési intézményben tanulók nappali rendszerű nevelésének, oktatásának szakmai feladatai 5-8. évfolyamon</t>
  </si>
  <si>
    <t>K89</t>
  </si>
  <si>
    <t>Egyéb felhalmozási célú támogatások államháztartáson kivülre</t>
  </si>
  <si>
    <t>Egyéb felhalmozási célú támogatások</t>
  </si>
  <si>
    <t>B410-B411</t>
  </si>
  <si>
    <t>16. melléklet</t>
  </si>
  <si>
    <t>25. melléklet</t>
  </si>
  <si>
    <t>Talajterhelési díj</t>
  </si>
  <si>
    <t>B355</t>
  </si>
  <si>
    <t>A kezességvállalás lejárt 2016-ban.</t>
  </si>
  <si>
    <t>Egyéb az Önkormányzat rendeletében megállapoított önkormányzati pénzbeli segély</t>
  </si>
  <si>
    <t>Munkahelyi étkeztetés és más szerv részére végzett szolgáltatás</t>
  </si>
  <si>
    <t>083030</t>
  </si>
  <si>
    <t>Egyéb kiadói tevékenység</t>
  </si>
  <si>
    <t>Lapkiadás</t>
  </si>
  <si>
    <t>ebből: iskola egészségügy:</t>
  </si>
  <si>
    <t>részfoglalkoztatású teljes státuszú megfeleltetéssel</t>
  </si>
  <si>
    <t>Közalkalmazottak összesen:</t>
  </si>
  <si>
    <t>Műszaki, technikai dolgozó</t>
  </si>
  <si>
    <t>Szerződéssel foglalkoztatott orvos teljes státuszú megfeleltetéssel</t>
  </si>
  <si>
    <t>Mindösszesen:</t>
  </si>
  <si>
    <t>Orvos, szakdolgozó</t>
  </si>
  <si>
    <t>Köztisztviselő (státusz)</t>
  </si>
  <si>
    <t>Közcélú foglalkoztatott</t>
  </si>
  <si>
    <t>Iparűzési adó</t>
  </si>
  <si>
    <t>B402, B406, B407</t>
  </si>
  <si>
    <t>Tartózkodás utáni idegenforgalmi adó</t>
  </si>
  <si>
    <t>Fejlesztési tartalék (beruházásra, felújításra)</t>
  </si>
  <si>
    <t>Ezt elrejteni kell, nem törölni, mert hivatkozás van benne.</t>
  </si>
  <si>
    <t>Magánszemélyek kommunális adója ( A helyi adóról szóló 23/2008. (XI. 26.) számú rendelet 4. § (2) )</t>
  </si>
  <si>
    <t>Magánszemélyek kommunális adója ( A helyi adóról szóló 23/2008. (XI. 26.) számú rendelet 4. § (3) )</t>
  </si>
  <si>
    <t>Magánszemélyek kommunális adója ( A helyi adóról szóló 23/2008. (XI. 26.) számú rendelet 4. § (4) )</t>
  </si>
  <si>
    <t>ÁHB megelőlegezés</t>
  </si>
  <si>
    <t>Egyéb működési bevételek</t>
  </si>
  <si>
    <t>Közhatalmi bevételek</t>
  </si>
  <si>
    <t>Pilisvörösvári Polgármesteri Hivatal költségvetése kötelező és önként vállalt feladat szerinti bontásban</t>
  </si>
  <si>
    <t>Pilisvörösvár Város Önkormányzata és a Pilisvörösvári Polgármesteri Hivatal közhatalmi és működési bevételei</t>
  </si>
  <si>
    <t>Pilisvörösvár Város Önkormányzata és a Pilisvörösvári Polgármesteri Hivatal dologi kiadás előirányzata</t>
  </si>
  <si>
    <t>Egyéb áru- és készletértékesítés</t>
  </si>
  <si>
    <t>B74</t>
  </si>
  <si>
    <t xml:space="preserve">Eredeti előirányzat kötelező feladatok </t>
  </si>
  <si>
    <t>Eredeti előirányzat önként vállalt feladatok</t>
  </si>
  <si>
    <t>Eredeti előirányzat ÖSSZESEN</t>
  </si>
  <si>
    <t>Szakorvosi Rendelőintézet Nemzeti Egészségbiztosítási Alapkezelő (NEAK, előtte OEP) finanszírozás</t>
  </si>
  <si>
    <t>Belföldi kincstárjegy</t>
  </si>
  <si>
    <t>072290</t>
  </si>
  <si>
    <t>2021. évi kifizetés</t>
  </si>
  <si>
    <t xml:space="preserve">   - Közművelődési érdekeltségnövelő támogatás pályázati önrész</t>
  </si>
  <si>
    <t>041233</t>
  </si>
  <si>
    <t>Hosszabb időtartamú közfoglalkoztatás</t>
  </si>
  <si>
    <t>Garanciális visszatartás</t>
  </si>
  <si>
    <t>Pilisvörösvári Tipegő Bölcsőde összesen</t>
  </si>
  <si>
    <t>Művészetek Háza - Kult. Központ és Városi Könyvtár</t>
  </si>
  <si>
    <t>Művészetek Háza összesen</t>
  </si>
  <si>
    <t>Új pilisvörösvári rendőrségi épület megépítésének támogatása</t>
  </si>
  <si>
    <t>EDDIG FELHASZNÁLT SZABAD MARADVÁNY</t>
  </si>
  <si>
    <t>FELHASZNÁLHATÓ MARADVÁNY</t>
  </si>
  <si>
    <t>EDDIG FELHASZNÁLT ÖSSZES MARADVÁNY</t>
  </si>
  <si>
    <t>KÜLÖNBÖZET</t>
  </si>
  <si>
    <t>ÖNKORMÁNYZAT</t>
  </si>
  <si>
    <t>HIVATAL</t>
  </si>
  <si>
    <t>17. melléklet</t>
  </si>
  <si>
    <t>18. melléklet</t>
  </si>
  <si>
    <t>20. melléklet</t>
  </si>
  <si>
    <t>21. melléklet</t>
  </si>
  <si>
    <t>22. melléklet</t>
  </si>
  <si>
    <t>24. melléklet</t>
  </si>
  <si>
    <t>26. melléklet</t>
  </si>
  <si>
    <t>Út, autópálya építése (engedélyezés)</t>
  </si>
  <si>
    <t>2018. év</t>
  </si>
  <si>
    <t>Kincstárjegy</t>
  </si>
  <si>
    <t>Magánszemélyek kommunális adója ( A helyi adóról szóló 23/2008. (XI. 26.) számú rendelet 3. § (2) - (3) )</t>
  </si>
  <si>
    <t>Adókedvezményre jogosult az az adóalany, aki a tárgyév január 1. napján ténylegesen Pilisvörösvár településen élő lakóhellyel rendelkező adózó. Az adókedvezmény mértéke a fizetendő adó 1/3-a, azaz évi 6.000 Ft.</t>
  </si>
  <si>
    <t xml:space="preserve">Gépjárműadóból önkormányzati rendelet alapján  kedvezmény és mentesség megállapítására nincs lehetőség, mivel azok törvény által biztosítottak. </t>
  </si>
  <si>
    <t>-</t>
  </si>
  <si>
    <t>Az európai uniós forrásból finanszírozott támogatással megvalósuló programok, projektek kiadásai, bevételei, valamint a helyi önkormányzat ilyen projektekhez történő hozzájárulásai</t>
  </si>
  <si>
    <t>ezer FT</t>
  </si>
  <si>
    <t xml:space="preserve">EU Projekt megnevezése: </t>
  </si>
  <si>
    <t>Felhalmozási célú támogatásokfejezeti kezelésű előirányzatok EU-s programokra és azok hazai társfinanszírozásától</t>
  </si>
  <si>
    <t>Finanszírozási bevételek- önerő hitel igénybevétele</t>
  </si>
  <si>
    <t>Finanszírozási bevételek- önkormányzat projekthez történő hozzájárulása</t>
  </si>
  <si>
    <t>Beruházási kiadások</t>
  </si>
  <si>
    <t>KÖFOP-1.2.1-VEKOP-16-2017-00658 „PILISVÖRÖSVÁR VÁROS ÖNKORMÁNYZATA ASP KÖZPONTHOZ
VALÓ CSATLAKOZÁSA”</t>
  </si>
  <si>
    <t>KÖFOP-1.2.1-VEKOP-16-2017-00658 pályázat összköltsége</t>
  </si>
  <si>
    <t>Dologi kiadások</t>
  </si>
  <si>
    <t>Személyi kiadások</t>
  </si>
  <si>
    <t>KÖFOP-1.2.1-VEKOP-16-2017-00658 pályázat összbevétele</t>
  </si>
  <si>
    <t>VEKOP-6.1.1-15-PT1-2016-00132 Kisgyermeket nevelő szülők munkavállalási aktivitásának növelése</t>
  </si>
  <si>
    <t>33.sz.  melléklet</t>
  </si>
  <si>
    <t>Szabálysértési pénz- és helyszíni bírság, közigazgatási bírság</t>
  </si>
  <si>
    <t>Pilisvörösvár Város Önkormányzata működési, felhalmozási célú bevételi és kiadási előirányzatok bemutatása</t>
  </si>
  <si>
    <t xml:space="preserve">Pilisvörösvár Város Önkormányzata működési és felhalmozási célú bevételek részletes bemutatása </t>
  </si>
  <si>
    <t xml:space="preserve">Pilisvörösvár Város Önkormányzata működési és felhalmozási célú kiadások részletes bemutatása </t>
  </si>
  <si>
    <t>Pilisvörösvár Város Önkormányzata költségvetése kötelező és önként vállalt feladat szerinti bontásban</t>
  </si>
  <si>
    <t>Pilisvörösvár Város Önkormányzata működési és felhalmozási bevételei</t>
  </si>
  <si>
    <t>Pilisvörösvár Város Önkormányzata általános működésének és ágazati feladatainak állami támogatása</t>
  </si>
  <si>
    <t>Pilisvörösvár Város Önkormányzata intézményeinek finanszírozási ütemterve</t>
  </si>
  <si>
    <t>Szolgáltatások ellenértéke  (bérleti díj)</t>
  </si>
  <si>
    <t>Bursa Hungarica Felsőoktatási ösztöndíj</t>
  </si>
  <si>
    <t>FOGLALKOZTATOTTI LÉTSZÁM MINDÖSSZESEN</t>
  </si>
  <si>
    <t>Polgármesteri Hivatal és Pilisvörösvár Város Önkormányzata</t>
  </si>
  <si>
    <t>VEKOP-6.1.1-15-PT1-2016-00132 Kisgyermeket nevelő szülők munkavállalási aktivitásának növelése pályázat összbevétele</t>
  </si>
  <si>
    <t>VEKOP-6.1.1-15-PT1-2016-00132 Kisgyermeket nevelő szülők munkavállalási aktivitásának növelése összköltsége</t>
  </si>
  <si>
    <t>Személyi juttatások  (Önként vállalt tevékenység esetében: Településőrök)</t>
  </si>
  <si>
    <t>Vörösvári Napok vendéglátósok helypénze</t>
  </si>
  <si>
    <r>
      <t xml:space="preserve">Rehab.foglalk. </t>
    </r>
    <r>
      <rPr>
        <sz val="16"/>
        <rFont val="Times New Roman"/>
        <family val="1"/>
        <charset val="238"/>
      </rPr>
      <t>(rész és teljes munkaidőben státuszon felül)</t>
    </r>
  </si>
  <si>
    <r>
      <t xml:space="preserve">Közcélú foglalkoztatott     </t>
    </r>
    <r>
      <rPr>
        <sz val="16"/>
        <rFont val="Times New Roman"/>
        <family val="1"/>
        <charset val="238"/>
      </rPr>
      <t>(teljes munkaidőben)</t>
    </r>
  </si>
  <si>
    <t xml:space="preserve">2017. év </t>
  </si>
  <si>
    <t xml:space="preserve">2018. év </t>
  </si>
  <si>
    <t>2017. év</t>
  </si>
  <si>
    <t>I. A HELYI ÖNKORMÁNYZATOK MŰKÖDÉSÉNEK ÁLTALÁNOS TÁMOGATÁSA</t>
  </si>
  <si>
    <t>2019. év</t>
  </si>
  <si>
    <t>Téli rezsicsökkentésben korábban nem részesült, a vezetékes gáz- vagy távfűtéstől eltérő fűtőanyagot felhasználó háztartások egyszeri támogatása</t>
  </si>
  <si>
    <t>B411</t>
  </si>
  <si>
    <t>Egyéb sajátos bevétel (csatorna törlesztés)</t>
  </si>
  <si>
    <t>B361</t>
  </si>
  <si>
    <t>Csatorna törlesztés</t>
  </si>
  <si>
    <t>Előző évi normatíva visszafizetése</t>
  </si>
  <si>
    <t>Településfejlesztés igazgatása</t>
  </si>
  <si>
    <t>Térfigyelő kamerarendszer kiépítése</t>
  </si>
  <si>
    <t>Egyéb szociális pénzbeli és természetbeni ellátások, támogatások</t>
  </si>
  <si>
    <t>Tó-dűlői záportározó medence megépítése (PM_CSAPVIZGAZD_2018) pályázati önrész</t>
  </si>
  <si>
    <t>2022. évi kifizetés</t>
  </si>
  <si>
    <t>2023. évi kifizetés</t>
  </si>
  <si>
    <t>Bérleti díj kedvezmények összesen</t>
  </si>
  <si>
    <t>Térítési díj kedvezmények összesen</t>
  </si>
  <si>
    <t>Visszafizetés</t>
  </si>
  <si>
    <t xml:space="preserve"> </t>
  </si>
  <si>
    <t>Hitel, kölcsön</t>
  </si>
  <si>
    <t>7</t>
  </si>
  <si>
    <t>Kt. ülések, állampolgári eskü, Március 15., Hősök napja(május 19.), Pedagógus nap, (június 1), Köztisztviselők napja (július 1.) Vörösvári Napok, polgármesteri reprezentáció, Zuzu-kupa, Bányásznap, Idősek napja</t>
  </si>
  <si>
    <t>Partnerkapcsolatok költségei (Wehrheim 35 éves jubileum, Borszék 10 éves jubileum)</t>
  </si>
  <si>
    <t>Általános - tartalék</t>
  </si>
  <si>
    <t>Működési célú - tartalék</t>
  </si>
  <si>
    <t>Nevesített fejlesztési - tartalék</t>
  </si>
  <si>
    <t>Sürgősségi ellátás (Országos Mentőszolgálatnak)</t>
  </si>
  <si>
    <t>Működési célú pénzeszközátvétel egyéb civil szervezetektől</t>
  </si>
  <si>
    <t>Önkormányzat 2020. évi eredeti előirányzat</t>
  </si>
  <si>
    <t>Polgármesteri Hivatal 2020. évi eredeti előirányzat</t>
  </si>
  <si>
    <t>Szakorvosi Rendelőintézet 2020. évi eredeti előirányzat</t>
  </si>
  <si>
    <t>2020. évi             Eredeti előirányzat Összesen</t>
  </si>
  <si>
    <t>2020. évi            Konszolidált eredeti előirányzat</t>
  </si>
  <si>
    <t>Ligeti Cseperedő Óvoda              2020. év eredeti előirányzat</t>
  </si>
  <si>
    <t>Pilisvörösvári          Német Nemzetiségi  Óvoda             2020. év eredeti előirányzat</t>
  </si>
  <si>
    <t>Művészetek Háza                        2020. év eredeti előirányzat</t>
  </si>
  <si>
    <t>GESZ                     2020. év eredeti előirányzat</t>
  </si>
  <si>
    <t>Pilisvörösvár Tipegő Bölcsőde 2020. év eredeti előirányzat</t>
  </si>
  <si>
    <t>2020. év</t>
  </si>
  <si>
    <t>SZEB rendezvényekkel kapcsolatos dologi kiadások 2020. évben 200.000,- a dologi kiadásokhoz van betervezve</t>
  </si>
  <si>
    <t xml:space="preserve">2020. év </t>
  </si>
  <si>
    <t>Szennyvízcsatorna építés</t>
  </si>
  <si>
    <t>072210</t>
  </si>
  <si>
    <t>Járóbeteg ellátás</t>
  </si>
  <si>
    <t>1.Bev_kiad_kiemelt ei'!A1</t>
  </si>
  <si>
    <t>2.Bevételek_részletes'!A1</t>
  </si>
  <si>
    <t>2.Kiadások_részletes '!A1</t>
  </si>
  <si>
    <t>3. Gesz költségvetés'!A1</t>
  </si>
  <si>
    <t>12.-Támogatási bevételek (B (2)'!A1</t>
  </si>
  <si>
    <t>13.- Költségvetési támogatások'!A1</t>
  </si>
  <si>
    <t>14. Intézményi normatíva'!A1</t>
  </si>
  <si>
    <t>15. Működési bev. (B3,B4)'!Nyomtatási_terület</t>
  </si>
  <si>
    <t>16. Átvett pénze.(B6,B7)'!Nyomtatási_terület</t>
  </si>
  <si>
    <t>17. finanszírozás be_ki (B8,K9)'!Nyomtatási_terület</t>
  </si>
  <si>
    <t>18. Dologi kiadások cofog(K3)'!Nyomtatási_terület</t>
  </si>
  <si>
    <t>20._Ellátottak p.jutattás (K4)'!Nyomtatási_terület</t>
  </si>
  <si>
    <t>21. Pe. átad. és tám. (K5)'!A1</t>
  </si>
  <si>
    <t>22. Tartalékok (K512)'!Nyomtatási_terület</t>
  </si>
  <si>
    <t>23. Beruházás (K6)'!Nyomtatási_terület</t>
  </si>
  <si>
    <t>24. Felújítás (K7)'!Nyomtatási_terület</t>
  </si>
  <si>
    <t>25.-Több éves elköt.'!Nyomtatási_terület</t>
  </si>
  <si>
    <t>26.sz.létszám'!Nyomtatási_terület</t>
  </si>
  <si>
    <t>27. ktgv.mérleg'!Nyomtatási_terület</t>
  </si>
  <si>
    <t>28.eir.felh.ütemterv'!Nyomtatási_terület</t>
  </si>
  <si>
    <t>29.sz.finansz.ütemterv'!Nyomtatási_terület</t>
  </si>
  <si>
    <t>30.sz.közvetett tám. (2)'!A1</t>
  </si>
  <si>
    <t>Munka1!A1</t>
  </si>
  <si>
    <t>Egyéb tárgyi eszközök</t>
  </si>
  <si>
    <t>TTÁI tornaterem felújítása (pályázati önrész MKSZ)</t>
  </si>
  <si>
    <t>Szakorvosi Rendelőintézetben az "Egészséges Budapest Program" keretében eszközbeszerzések</t>
  </si>
  <si>
    <t>Búcsú tér elektromos fejlesztése</t>
  </si>
  <si>
    <t>Városapplikáció</t>
  </si>
  <si>
    <t>SECAP tanulmány</t>
  </si>
  <si>
    <t>Polgármesteri Hivatal udvarán található pince és folyosó felújítása, parkettázás</t>
  </si>
  <si>
    <t>Telefonközpont</t>
  </si>
  <si>
    <t>finansz</t>
  </si>
  <si>
    <t>főösszeg</t>
  </si>
  <si>
    <t>2019. maradvány</t>
  </si>
  <si>
    <t>Gyermekétkeztetés köznevelési intézményben</t>
  </si>
  <si>
    <t>Gyermekétkeztetés bölcsődében</t>
  </si>
  <si>
    <t xml:space="preserve">Vörösvári Újság hirdetés </t>
  </si>
  <si>
    <t>Urnaparcella kiépítése</t>
  </si>
  <si>
    <t>Vörösvári Napok áramellátásának fejlesztése</t>
  </si>
  <si>
    <t>900090</t>
  </si>
  <si>
    <t>2020. évi Eredeti bevételi előirányzat Összesen</t>
  </si>
  <si>
    <t>2020. évi Konszolidált bevétel eredeti előirányzat</t>
  </si>
  <si>
    <t>2020. évi Eredeti kiadási előirányzat Összesen</t>
  </si>
  <si>
    <t>2020. évi Konszolidált kiadási eredeti előirányzat</t>
  </si>
  <si>
    <t>Intézmények összesen</t>
  </si>
  <si>
    <r>
      <t xml:space="preserve">Irányító szervtől kapott támogatás ( közmunka program 3 fő 10 hónapra 75%-os támogatással, </t>
    </r>
    <r>
      <rPr>
        <sz val="16"/>
        <color rgb="FFFF0000"/>
        <rFont val="Times New Roman"/>
        <family val="1"/>
        <charset val="238"/>
      </rPr>
      <t>rendszeres gyermekvédelmi utalvány</t>
    </r>
    <r>
      <rPr>
        <sz val="16"/>
        <rFont val="Times New Roman"/>
        <family val="1"/>
        <charset val="238"/>
      </rPr>
      <t>)</t>
    </r>
  </si>
  <si>
    <t>Pályázatok visszafizetési kötelezettsége (2019: VEKOP 6.1.1-15-PT1-2016-00132, KÖFOP-1.2.1-VEKOP-16; 2020: téli rezsicsökkentés és rendszeres gyermekvédelmi támogatás)</t>
  </si>
  <si>
    <t>013360</t>
  </si>
  <si>
    <t>Más szerv részére végzett pénzügyi-gazdálkodási, üzemeltetési, egyéb szolgáltatások</t>
  </si>
  <si>
    <t>IPA emelés hatása</t>
  </si>
  <si>
    <t>Tartalék egyéb ingatlan értékesítésből</t>
  </si>
  <si>
    <t>Működési kiadások</t>
  </si>
  <si>
    <t>31.sz.adósságszolgálat'!Nyomtatási_terület</t>
  </si>
  <si>
    <t>32. gördülő'!Nyomtatási_terület</t>
  </si>
  <si>
    <t>Mentes a 20 négyzetméternél kisebb telekre az adó megfizetése alól az az adóalany, akinek két építéshatósági szempontból összevonható telke van, de a telekösszevonásához más olyan tulajdonostársak hozzájárulása is szükséges, akiknek az ingatlanon kizárólagosan használt épületrészük van.</t>
  </si>
  <si>
    <t>Iparűzési adóból adómentes adóalap vagy adókedvezmény önkormányzati rendelet alapján nincs.</t>
  </si>
  <si>
    <t>Idegenforgalmi adó</t>
  </si>
  <si>
    <t>Idegenforgalmi adóból önkormányzati rendelet alapján kedvezmény vagy mentesség nincs.</t>
  </si>
  <si>
    <t>B402, B407</t>
  </si>
  <si>
    <t>B404, B407</t>
  </si>
  <si>
    <t>B401, B407</t>
  </si>
  <si>
    <t>B403, B407</t>
  </si>
  <si>
    <t>B405, B407</t>
  </si>
  <si>
    <t>B411, B407</t>
  </si>
  <si>
    <t xml:space="preserve">Sportlétesítmények üzemeltetése </t>
  </si>
  <si>
    <t>Pilisvörösvár Város Önkormányzata Képviselő-testületének /2019. (. .) önkormányzati rendelete</t>
  </si>
  <si>
    <t>az Önkormányzat  2019. évi költségvetéséről</t>
  </si>
  <si>
    <t>összes fejlesztési kiadás</t>
  </si>
  <si>
    <t>2020-ban induló</t>
  </si>
  <si>
    <t>A költségvetési év azon fejlesztési céljai, amelyek megvalósításához a Gst. 8. § (2) bekezdése szerinti adósságot keletkeztető ügylet megkötése válik vagy válhat szükségessé</t>
  </si>
  <si>
    <t>Születési támogatás és a természetbeni születési támogatás</t>
  </si>
  <si>
    <t>az Önkormányzat  2021. évi költségvetéséről</t>
  </si>
  <si>
    <t>2021. évi Eredeti bevételi előirányzat Összesen</t>
  </si>
  <si>
    <t>2021. évi Konszolidált bevétel eredeti előirányzat</t>
  </si>
  <si>
    <t>2021. évi Eredeti kiadási előirányzat Összesen</t>
  </si>
  <si>
    <t>2021. évi Konszolidált kiadási eredeti előirányzat</t>
  </si>
  <si>
    <t>Önkormányzat 2021. évi eredeti előirányzat</t>
  </si>
  <si>
    <t>Polgármesteri Hivatal 2021. évi eredeti előirányzat</t>
  </si>
  <si>
    <t>Szakorvosi Rendelőintézet 2021. évi eredeti előirányzat</t>
  </si>
  <si>
    <t>2021. évi             Eredeti előirányzat Összesen</t>
  </si>
  <si>
    <t>2021. évi            Konszolidált eredeti előirányzat</t>
  </si>
  <si>
    <t>Ligeti Cseperedő Óvoda              2021. év eredeti előirányzat</t>
  </si>
  <si>
    <t>Pilisvörösvári          Német Nemzetiségi  Óvoda             2021. év eredeti előirányzat</t>
  </si>
  <si>
    <t>Művészetek Háza                        2021. év eredeti előirányzat</t>
  </si>
  <si>
    <t>GESZ                     2021. év eredeti előirányzat</t>
  </si>
  <si>
    <t>Pilisvörösvár Tipegő Bölcsőde 2021. év eredeti előirányzat</t>
  </si>
  <si>
    <t>2020. évi összes előirányzat</t>
  </si>
  <si>
    <t>2021. év</t>
  </si>
  <si>
    <t>Támogatás összege             2021</t>
  </si>
  <si>
    <t>Önkormányzati intézmények   2020. évi eredeti előirányzat</t>
  </si>
  <si>
    <t>Önkormányzati intézmények   2021. évi eredeti előirányzat</t>
  </si>
  <si>
    <t>Önkormányzati intézmények      2020. évi előirányzat összesen eredeti előirányzat</t>
  </si>
  <si>
    <t xml:space="preserve"> Önkormányzati intézmények      2021. évi előirányzat összesen eredeti előirányzat</t>
  </si>
  <si>
    <t xml:space="preserve">Önkormányzati intézmények működési és felhalmozási célú bevételi és kiadási előirányzatok részletes bemutatása </t>
  </si>
  <si>
    <t>Magyarország 2021. évi központi költségvetéséről szóló 2020. évi XC. törvény 2. számú melléklete alapján Pilisvörösvár Város Önkormányzata általános működésének és ágazati feladatainak támogatása</t>
  </si>
  <si>
    <t>B403</t>
  </si>
  <si>
    <t>2020.12.31. összesen</t>
  </si>
  <si>
    <t>Kiegészítő pénzbeli ellátás</t>
  </si>
  <si>
    <t>Teljes egészében visszaigényeljük</t>
  </si>
  <si>
    <t>052080</t>
  </si>
  <si>
    <t>23. melléklet</t>
  </si>
  <si>
    <t>31. melléklet</t>
  </si>
  <si>
    <t xml:space="preserve">34. melléklet </t>
  </si>
  <si>
    <t>Német Nemzetiségi Óvoda 5 intézményegységének felújítása, fejleszése</t>
  </si>
  <si>
    <t>Szabadidőközpont területén történő ingatlancsere</t>
  </si>
  <si>
    <t>9 db belterületi utca kivitelezésre alkalmas engedélyezési terv elkészítése</t>
  </si>
  <si>
    <t xml:space="preserve">Egyéb támogatások </t>
  </si>
  <si>
    <t>2019. évi tény  (teljesítés)</t>
  </si>
  <si>
    <t>2020. évi várható teljesítés</t>
  </si>
  <si>
    <t>2021. évi eredeti ei.</t>
  </si>
  <si>
    <t>2021. Konszolidált bevétel</t>
  </si>
  <si>
    <t>2021. Konszolidált kiadás</t>
  </si>
  <si>
    <t>sor-szám</t>
  </si>
  <si>
    <t>fajlagos összeg</t>
  </si>
  <si>
    <t>összesen eFt:</t>
  </si>
  <si>
    <t>1.2.1.1. Óvodaműködtetési támogatás - óvoda napi nyitvatartási ideje eléri a nyolc órát</t>
  </si>
  <si>
    <t>1.2.2.1. pedagógusok átlagbéralapú támogatása</t>
  </si>
  <si>
    <t>1.2.3.1.1.1.1. pedagógus II. kategóriába sorolt pedagógusok, pedagógus szakképzettséggel rendelkező segítők kiegészítő támogatása</t>
  </si>
  <si>
    <t>1.2.3.1.1.1.2. mesterpedagógus, kutatótanár kategóriába sorolt pedagógusok kiegészítő támogatása</t>
  </si>
  <si>
    <t>1.2.4.1.1. A köznevelési Kjtvhr. 16. § (6) bekezdés a) pont ac) alpontja és b) pontja alapján nemzetiségi pótlékban részesülő pedagógus</t>
  </si>
  <si>
    <t>1.2.5.1.1. pedagógus szakképzettséggel nem rendelkező segítők átlagbéralapú támogatása</t>
  </si>
  <si>
    <t>1.2.5.1.2. pedagógus szakképzettséggel rendelkező segítők átlagbéralapú támogatása</t>
  </si>
  <si>
    <t>Pilisvörösvári Német Nemzetiségi Óvoda összesen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</si>
  <si>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</si>
  <si>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</si>
  <si>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</si>
  <si>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Pilisvörösvári Templom Téri Német Nemzetiségi  Általános Iskola</t>
  </si>
  <si>
    <t>Pilisvörösvári Templom Téri Német Nemzetiségi  Általános Iskola összesen</t>
  </si>
  <si>
    <t>1.3.2.1. család- és gyermekjóléti szolgálat</t>
  </si>
  <si>
    <t>számított létszám</t>
  </si>
  <si>
    <t>1.3.2.2. család- és gyermekjóléti központ</t>
  </si>
  <si>
    <t>1.3.2.3.2. Szociális étkeztetés - társulás által történő feladatellátás</t>
  </si>
  <si>
    <t>1.3.2.4.1. Szociális segítés</t>
  </si>
  <si>
    <t>1.3.2.4.3. Személyi gondozás - társulás által történő feladatellátás</t>
  </si>
  <si>
    <t>1.3.2.6.2. Időskorúak nappali intézményi ellátása - társulás által történő feladatellátás</t>
  </si>
  <si>
    <t>1.3.2.7.2. Fogyatékos személyek nappali intézményi ellátása - társulás által történő feladatellátás</t>
  </si>
  <si>
    <t>1.3.4.1.  Bértámogatás  (idősek átmeneti gondozóháza)</t>
  </si>
  <si>
    <t>1.3.4.2. Intézmény-üzemeltetési támogatás (idősek átmeneti gondozóháza)</t>
  </si>
  <si>
    <t>gy.étk. 1 főre jutó:</t>
  </si>
  <si>
    <t>1.5.2. Települési önk. nyilvános könyvtári és közműv. feladatainak támogatása</t>
  </si>
  <si>
    <t>Előző év költségvetési maradványának igénybevétele</t>
  </si>
  <si>
    <t xml:space="preserve">2020.12.31-én fennálló kötelezettség  </t>
  </si>
  <si>
    <t>2024. évi kifizetés</t>
  </si>
  <si>
    <t>1.1.1.1. Önkormányzati hivatal működésének támogatása -elismert hivatali létszám alapján</t>
  </si>
  <si>
    <t>1.1.1.2. Településüzemeltetés - zöldterület-gazdálkodás támogatása</t>
  </si>
  <si>
    <t>1.1.1.5. Településüzemeltetés - közutak támogatása</t>
  </si>
  <si>
    <t>1.1.1.4. Településüzemeltetés - köztemető támogatása</t>
  </si>
  <si>
    <t>1.1.1.3. Településüzemeltetés - közvilágítás támogatása</t>
  </si>
  <si>
    <t>1.1.1.6. Egyéb önkormányzati feladatok támogatása</t>
  </si>
  <si>
    <t>1.1.1.7. Lakott külterülettel kapcsolatos feladatok támogatása</t>
  </si>
  <si>
    <t>42.5.5. Önkormányzati szolidaritási hozzájárulás</t>
  </si>
  <si>
    <t>1.2.2.1. Pedagógusok átlagbéralapú támogatása</t>
  </si>
  <si>
    <t>21</t>
  </si>
  <si>
    <t>22</t>
  </si>
  <si>
    <t>23</t>
  </si>
  <si>
    <t>1.2.3.1.1.1.2. Mesterpedagógus, kutatótanár kategóriába sorolt pedagógusok kiegészító támogatása</t>
  </si>
  <si>
    <t>1.2.4.1.1. A köznevelési Kjtvhr. 16 § (6) a) pont ac) alpontja és b) pontja alapján nemzetiségi pótlkban részesülő pedagógus</t>
  </si>
  <si>
    <t>26</t>
  </si>
  <si>
    <t>1.2.5.1.1. Pedagógus szakképzettséggel nem rendelkező segítők átlagbéralapú támogatása</t>
  </si>
  <si>
    <t>28</t>
  </si>
  <si>
    <t>1.2. A települési önkormányzatok egyes köznevelési feladatainak támogatása</t>
  </si>
  <si>
    <t>II. A TELEPÜLÉSI ÖNKORMÁNYZATOK EGYES KÖZNEVELÉSI FELADATAINAK TÁMOGATÁSA</t>
  </si>
  <si>
    <t>31</t>
  </si>
  <si>
    <t>32</t>
  </si>
  <si>
    <t>33</t>
  </si>
  <si>
    <t>34</t>
  </si>
  <si>
    <t>III. A TELEPÜLÉSI ÖNKORMÁNYZATOK SZOCIÁLIS, GYERMEKJÓLÉTI ÉS GYERMEKÉTKEZTETÉS FELADATAINAK TÁMOGATÁSA</t>
  </si>
  <si>
    <t>1.3.2.1. Család- és gyermekjóléti szolgálat</t>
  </si>
  <si>
    <t>1.3.2.2. Család- és gyermekjóléti központ</t>
  </si>
  <si>
    <t>1.3.2.3.2. Szociális étkezés - társulás által történő feladatellátás</t>
  </si>
  <si>
    <t>35</t>
  </si>
  <si>
    <t>1.3.4.1. Bértámogatás</t>
  </si>
  <si>
    <t>1.3.4.2. Intézményüzemeltetési támgatás</t>
  </si>
  <si>
    <t>1.3. A települési önkormányzatok szociális és gyermekjóléti feladatainak támogatása</t>
  </si>
  <si>
    <t>1.4.1.1. Intézményi gyermekétkeztetés - bértámogatás</t>
  </si>
  <si>
    <t>1.4.1.2. Intézményi gyermekétkeztetés - üzemeltetési támogatás</t>
  </si>
  <si>
    <t>1.4. A települési önkormányzatok gyermekétkeztetési feladatainak támogatása</t>
  </si>
  <si>
    <t>1.5.2. Települési önkormányzatok nyilvános könyvtári és a közművelődési feladatainak támogatása</t>
  </si>
  <si>
    <t>1.5. A települési önkormányzatok kulturális feladatainak támogatása</t>
  </si>
  <si>
    <t>IV. A TELEPÜLÉSI ÖNKORMÁNYZATOK KULTURÁLIS FELADATAINAK TÁMOGATÁSA</t>
  </si>
  <si>
    <t>1.2.5.1.2. Pedagógus szakképzettséggel rendelkező segítők átlagbéralapú támogatása</t>
  </si>
  <si>
    <t xml:space="preserve">Ellátási díjak </t>
  </si>
  <si>
    <t>17</t>
  </si>
  <si>
    <t>1.2.3.1.1.1.1. Pedagógusok II. kategóriába sorolt pedagógusok, pedagógus szakképzettséggel rendelkező segítők kiegészítő támogatása</t>
  </si>
  <si>
    <t>19. melléklet</t>
  </si>
  <si>
    <t>Bölcsődei férőhelyek kialakítása, bővítése</t>
  </si>
  <si>
    <r>
      <t>Művészetek Háza fejlesztési tartalék</t>
    </r>
    <r>
      <rPr>
        <i/>
        <sz val="12"/>
        <color indexed="8"/>
        <rFont val="Times New Roman"/>
        <family val="1"/>
        <charset val="238"/>
      </rPr>
      <t/>
    </r>
  </si>
  <si>
    <r>
      <t>Pilisvörösvári Tipegő Bölcsőde fejlesztési tartalék</t>
    </r>
    <r>
      <rPr>
        <i/>
        <sz val="12"/>
        <color indexed="8"/>
        <rFont val="Times New Roman"/>
        <family val="1"/>
        <charset val="238"/>
      </rPr>
      <t/>
    </r>
  </si>
  <si>
    <r>
      <t xml:space="preserve">Pilisvörösvári Német Nemzetiségi Óvoda fejlesztési tartalék </t>
    </r>
    <r>
      <rPr>
        <i/>
        <sz val="12"/>
        <color indexed="8"/>
        <rFont val="Times New Roman"/>
        <family val="1"/>
        <charset val="238"/>
      </rPr>
      <t/>
    </r>
  </si>
  <si>
    <r>
      <t xml:space="preserve">Városi Napos Oldal Szociális Központ fejlesztési tartalék </t>
    </r>
    <r>
      <rPr>
        <i/>
        <sz val="12"/>
        <rFont val="Times New Roman"/>
        <family val="1"/>
        <charset val="238"/>
      </rPr>
      <t/>
    </r>
  </si>
  <si>
    <t xml:space="preserve">Cziffra György Alapfokú Művészeti Iskola </t>
  </si>
  <si>
    <t>Ligeti Cseperedő Német Nemzetiségi Óvoda fejlesztési tartalék</t>
  </si>
  <si>
    <t>Járdaépítési számla</t>
  </si>
  <si>
    <t>Jégpálya bevétele</t>
  </si>
  <si>
    <t>- Jégpályával kapcsolatos kiadások</t>
  </si>
  <si>
    <t>1.2.2.3. A települési önkormányzatok egyes szociális és gyermekjóléti feladatainak működési célú támogatása</t>
  </si>
  <si>
    <t>1</t>
  </si>
  <si>
    <t>K311</t>
  </si>
  <si>
    <t>Szakmai anyagok</t>
  </si>
  <si>
    <t>2</t>
  </si>
  <si>
    <t>K312</t>
  </si>
  <si>
    <t>K313</t>
  </si>
  <si>
    <t>K31</t>
  </si>
  <si>
    <t xml:space="preserve">Készletbeszerzés </t>
  </si>
  <si>
    <t>K321</t>
  </si>
  <si>
    <t>K322</t>
  </si>
  <si>
    <t>Kommunikációs szolgáltatások (telefon)</t>
  </si>
  <si>
    <t>K32</t>
  </si>
  <si>
    <t xml:space="preserve">Kommunikációs szolgáltatások </t>
  </si>
  <si>
    <t>K331</t>
  </si>
  <si>
    <t>K333</t>
  </si>
  <si>
    <t>Bérleti díjak</t>
  </si>
  <si>
    <t>K334</t>
  </si>
  <si>
    <t>Épületek és eszközök karbantartása, javítása</t>
  </si>
  <si>
    <t>K335</t>
  </si>
  <si>
    <t>K336</t>
  </si>
  <si>
    <t>K33</t>
  </si>
  <si>
    <t xml:space="preserve">Szolgáltatási kiadások </t>
  </si>
  <si>
    <t>K341</t>
  </si>
  <si>
    <t>Belföldi, kiküldetés, útiköltség elszám.</t>
  </si>
  <si>
    <t>K342</t>
  </si>
  <si>
    <t>K34</t>
  </si>
  <si>
    <t xml:space="preserve">Kiküldetések, reklám- és propagandakiadások </t>
  </si>
  <si>
    <t>K352</t>
  </si>
  <si>
    <t>Áfabefizetés</t>
  </si>
  <si>
    <t>K353</t>
  </si>
  <si>
    <t>K35</t>
  </si>
  <si>
    <t xml:space="preserve">Különféle befizetések és egyéb dologi kiadások </t>
  </si>
  <si>
    <t xml:space="preserve">Egyéb üzemeltetési, fenntartási anyagok, készlet </t>
  </si>
  <si>
    <t xml:space="preserve">Áru beszerzés </t>
  </si>
  <si>
    <t>Egy különféle inf szolgáltatás</t>
  </si>
  <si>
    <t>Közüzemi szolgáltatások</t>
  </si>
  <si>
    <t xml:space="preserve">Kiszámlázott termékek, szolgáltatások </t>
  </si>
  <si>
    <t xml:space="preserve">Számlázott szellemi tev </t>
  </si>
  <si>
    <t>Egyéb üzemeltetési, fenntartási szolgáltatások</t>
  </si>
  <si>
    <t>K337</t>
  </si>
  <si>
    <t>Kamat</t>
  </si>
  <si>
    <t>K355</t>
  </si>
  <si>
    <t xml:space="preserve">Díjak egyéb befizetések kiadásai </t>
  </si>
  <si>
    <t>Reklám kiadások</t>
  </si>
  <si>
    <t>Járóbeteg-ellátás finanszírozása és támogatása</t>
  </si>
  <si>
    <t>Vállalkozási tevékenység (konyha)</t>
  </si>
  <si>
    <r>
      <t xml:space="preserve">Tervek: </t>
    </r>
    <r>
      <rPr>
        <b/>
        <sz val="30"/>
        <rFont val="Times New Roman"/>
        <family val="1"/>
        <charset val="238"/>
      </rPr>
      <t>2020:</t>
    </r>
    <r>
      <rPr>
        <sz val="30"/>
        <rFont val="Times New Roman"/>
        <family val="1"/>
        <charset val="238"/>
      </rPr>
      <t xml:space="preserve"> Településrendezési eszközök módosítása (HÉSZ); Templom tér környezetrendezésére kiviteli terv; Pilisvörösvár-Solymár-Pilisszentiván összekötő út tervezése</t>
    </r>
  </si>
  <si>
    <r>
      <rPr>
        <b/>
        <sz val="30"/>
        <rFont val="Times New Roman"/>
        <family val="1"/>
        <charset val="238"/>
      </rPr>
      <t xml:space="preserve">Útépítés: </t>
    </r>
    <r>
      <rPr>
        <i/>
        <sz val="30"/>
        <rFont val="Times New Roman"/>
        <family val="1"/>
        <charset val="238"/>
      </rPr>
      <t>2020:</t>
    </r>
    <r>
      <rPr>
        <sz val="30"/>
        <rFont val="Times New Roman"/>
        <family val="1"/>
        <charset val="238"/>
      </rPr>
      <t xml:space="preserve"> Nagy-tó körüli futópálya garancia összege; Fő utca beruházás folytatása a Hősök terétől a CBA-ig Fő utca program folytatása I. (járda- és parkolóépítés + csapadékvíz-elvezetés); Béke utcai útépítés a Nagy Imre utcáig garancia összege</t>
    </r>
  </si>
  <si>
    <t>Pilisvörösvári Városgazda Kft.</t>
  </si>
  <si>
    <t>Előző év kötelezettséggel terhelt költségvetési maradványának igénybevétele</t>
  </si>
  <si>
    <t>K5022</t>
  </si>
  <si>
    <t>Szolidaritási hozzájárulás</t>
  </si>
  <si>
    <t>egyéb köz-alkalmazott, MT-s</t>
  </si>
  <si>
    <t>18/1. melléklet</t>
  </si>
  <si>
    <t>Bérleti díjak (közterület, haszonbérleti díj, munkakezdési hozzájárulás)</t>
  </si>
  <si>
    <t xml:space="preserve"> - 2021.09.01-től + 1 fő gyógypedagógus</t>
  </si>
  <si>
    <t>Pilisvörösvári Szakrendelő költségvetése kötelező és önként vállalt feladat szerinti bontásban</t>
  </si>
  <si>
    <t>18/1.melléklet</t>
  </si>
  <si>
    <t>Pilisvörösvár Város Önkormányzata és Pilisvörösvári Polgármesteri Hivatal felhalmozási (felújítási) kiadásai feladatonként</t>
  </si>
  <si>
    <t xml:space="preserve">24. melléklet </t>
  </si>
  <si>
    <t xml:space="preserve">25. melléklet </t>
  </si>
  <si>
    <t>Német Nemzetiségi Óvoda Széchenyi utcai tagóvoda tálalókonyhájában elszívó kiépítése</t>
  </si>
  <si>
    <t>Gazdasági Ellátó Szervezet költségvetése kötelező és önként vállalt feladat szerinti bontásban</t>
  </si>
  <si>
    <t>Pilisvörösvár Város Önkormányzata és a Pilisvörösvári Polgármesteri Hivatal általános igazgatási tevékenységének dologi kiadásai</t>
  </si>
  <si>
    <t>Pilisvörösvár Város Önkormányzata és a Pilisvörösvári Polgármesteri Hivatal ellátottak pénzbeli juttatásai, szociális és gyermekjóléti pénzbeli és természetbeni juttatások előirányzata</t>
  </si>
  <si>
    <t>Pilisvörösvár Város Önkormányzata és Pilisvörösvári Polgármesteri Hivatal felhalmozási (beruházási) kiadásai feladatonként</t>
  </si>
  <si>
    <t>ÖSSZESEN:</t>
  </si>
  <si>
    <t>36</t>
  </si>
  <si>
    <t>38</t>
  </si>
  <si>
    <t>Ligeti Cseperedő Német Nemzetiségi Óvoda</t>
  </si>
  <si>
    <r>
      <t xml:space="preserve">Rehab.foglalk. </t>
    </r>
    <r>
      <rPr>
        <sz val="16"/>
        <rFont val="Times New Roman"/>
        <family val="1"/>
        <charset val="238"/>
      </rPr>
      <t xml:space="preserve">(rész és teljes munkaidőben státuszon felül) </t>
    </r>
  </si>
  <si>
    <t>Gazdasági szervezettel rendelkező intézmények:</t>
  </si>
  <si>
    <t>Pilisvörösvár Város Önkormányzata átlagos állományi statisztikai létszám</t>
  </si>
  <si>
    <t>Város-, községgazd.i egyéb szol.</t>
  </si>
  <si>
    <t>Közutak, hidak, alagutak üzemeltetése</t>
  </si>
  <si>
    <t>Zöldterület-kezelés</t>
  </si>
  <si>
    <t xml:space="preserve">Lakóingatlan és nem lakóingatlan üzemeltetése: Önkormányzati ingatlanok dologi kiadásai </t>
  </si>
  <si>
    <t xml:space="preserve">Köztemető-fenntartási feladatok </t>
  </si>
  <si>
    <t>Pilisvörösvár Város Önkormányzata Képviselő-testületének 1/2021. (II. 15.) önkormányzati rendelete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</si>
</sst>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F_t_-;\-* #,##0.00\ _F_t_-;_-* &quot;-&quot;??\ _F_t_-;_-@_-"/>
    <numFmt numFmtId="165" formatCode="_-* #,##0\ _F_t_-;\-* #,##0\ _F_t_-;_-* &quot;-&quot;??\ _F_t_-;_-@_-"/>
    <numFmt numFmtId="166" formatCode="0__"/>
    <numFmt numFmtId="167" formatCode="0.0"/>
    <numFmt numFmtId="168" formatCode="\ ##########"/>
    <numFmt numFmtId="169" formatCode="[&gt;0]#,##0;[&lt;0]\-#,##0;\-#"/>
    <numFmt numFmtId="170" formatCode="#,##0_ ;[Red]\-#,##0\ "/>
    <numFmt numFmtId="171" formatCode="#,##0_ ;\-#,##0\ "/>
    <numFmt numFmtId="172" formatCode="#,##0.00000000000"/>
    <numFmt numFmtId="173" formatCode="0.000%"/>
    <numFmt numFmtId="174" formatCode="#,##0;[Red]#,##0"/>
    <numFmt numFmtId="175" formatCode="#,##0.0"/>
  </numFmts>
  <fonts count="161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0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 CE"/>
      <family val="2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indexed="8"/>
      <name val="Arial CE"/>
      <charset val="238"/>
    </font>
    <font>
      <b/>
      <i/>
      <sz val="9"/>
      <color indexed="8"/>
      <name val="Arial CE"/>
      <charset val="238"/>
    </font>
    <font>
      <sz val="9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sz val="10"/>
      <name val="Georgia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6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Arial CE"/>
      <family val="2"/>
      <charset val="238"/>
    </font>
    <font>
      <sz val="9"/>
      <name val="Arial"/>
      <family val="2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Times New Roman"/>
      <family val="1"/>
      <charset val="238"/>
    </font>
    <font>
      <sz val="9"/>
      <color indexed="8"/>
      <name val="Calibri"/>
      <family val="2"/>
      <charset val="238"/>
    </font>
    <font>
      <b/>
      <sz val="9"/>
      <color indexed="8"/>
      <name val="Times New Roman"/>
      <family val="1"/>
      <charset val="238"/>
    </font>
    <font>
      <sz val="13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3"/>
      <color indexed="8"/>
      <name val="Bookman Old Style"/>
      <family val="1"/>
      <charset val="238"/>
    </font>
    <font>
      <i/>
      <sz val="14"/>
      <name val="Times New Roman"/>
      <family val="1"/>
      <charset val="238"/>
    </font>
    <font>
      <b/>
      <sz val="14"/>
      <color indexed="8"/>
      <name val="Calibri"/>
      <family val="2"/>
      <charset val="238"/>
    </font>
    <font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i/>
      <sz val="10"/>
      <name val="Times New Roman"/>
      <family val="1"/>
      <charset val="238"/>
    </font>
    <font>
      <sz val="8"/>
      <name val="Arial CE"/>
    </font>
    <font>
      <b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u/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sz val="18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sz val="16"/>
      <color indexed="8"/>
      <name val="Calibri"/>
      <family val="2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0"/>
      <color indexed="8"/>
      <name val="Arial CE"/>
      <charset val="238"/>
    </font>
    <font>
      <sz val="10"/>
      <color indexed="8"/>
      <name val="Arial CE"/>
      <charset val="238"/>
    </font>
    <font>
      <b/>
      <i/>
      <sz val="11"/>
      <color indexed="8"/>
      <name val="Arial CE"/>
      <charset val="238"/>
    </font>
    <font>
      <b/>
      <i/>
      <sz val="10"/>
      <name val="Arial CE"/>
      <charset val="238"/>
    </font>
    <font>
      <b/>
      <sz val="2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indexed="8"/>
      <name val="Times New Roman"/>
      <family val="1"/>
      <charset val="238"/>
    </font>
    <font>
      <u/>
      <sz val="14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sz val="22"/>
      <name val="Times New Roman"/>
      <family val="1"/>
      <charset val="238"/>
    </font>
    <font>
      <i/>
      <sz val="9"/>
      <color indexed="8"/>
      <name val="Arial CE"/>
    </font>
    <font>
      <sz val="24"/>
      <name val="Times New Roman"/>
      <family val="1"/>
      <charset val="238"/>
    </font>
    <font>
      <b/>
      <sz val="24"/>
      <name val="Times New Roman"/>
      <family val="1"/>
      <charset val="238"/>
    </font>
    <font>
      <sz val="26"/>
      <name val="Times New Roman"/>
      <family val="1"/>
      <charset val="238"/>
    </font>
    <font>
      <b/>
      <sz val="26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Calibri"/>
      <family val="2"/>
      <charset val="238"/>
    </font>
    <font>
      <i/>
      <sz val="18"/>
      <name val="Times New Roman"/>
      <family val="1"/>
      <charset val="238"/>
    </font>
    <font>
      <sz val="14"/>
      <color rgb="FFFF0000"/>
      <name val="Calibri"/>
      <family val="2"/>
      <charset val="238"/>
    </font>
    <font>
      <i/>
      <sz val="20"/>
      <name val="Times New Roman"/>
      <family val="1"/>
      <charset val="238"/>
    </font>
    <font>
      <b/>
      <i/>
      <sz val="20"/>
      <name val="Times New Roman"/>
      <family val="1"/>
      <charset val="238"/>
    </font>
    <font>
      <b/>
      <i/>
      <sz val="18"/>
      <name val="Times New Roman"/>
      <family val="1"/>
      <charset val="238"/>
    </font>
    <font>
      <sz val="20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8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6"/>
      <color rgb="FFFF0000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8"/>
      <color indexed="8"/>
      <name val="Arial CE"/>
      <family val="2"/>
      <charset val="238"/>
    </font>
    <font>
      <b/>
      <sz val="22"/>
      <color indexed="8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sz val="24"/>
      <color theme="1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  <font>
      <i/>
      <sz val="16"/>
      <name val="Times New Roman"/>
      <family val="1"/>
      <charset val="238"/>
    </font>
    <font>
      <sz val="36"/>
      <name val="Times New Roman"/>
      <family val="1"/>
      <charset val="238"/>
    </font>
    <font>
      <b/>
      <sz val="36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30"/>
      <name val="Times New Roman"/>
      <family val="1"/>
      <charset val="238"/>
    </font>
    <font>
      <b/>
      <sz val="30"/>
      <name val="Times New Roman"/>
      <family val="1"/>
      <charset val="238"/>
    </font>
    <font>
      <b/>
      <sz val="36"/>
      <color indexed="8"/>
      <name val="Times New Roman"/>
      <family val="1"/>
      <charset val="238"/>
    </font>
    <font>
      <sz val="36"/>
      <color theme="1"/>
      <name val="Calibri"/>
      <family val="2"/>
      <charset val="238"/>
      <scheme val="minor"/>
    </font>
    <font>
      <sz val="36"/>
      <color indexed="8"/>
      <name val="Times New Roman"/>
      <family val="1"/>
      <charset val="238"/>
    </font>
    <font>
      <sz val="28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u/>
      <sz val="10"/>
      <color theme="10"/>
      <name val="Calibri"/>
      <family val="2"/>
      <charset val="238"/>
      <scheme val="minor"/>
    </font>
    <font>
      <i/>
      <sz val="30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7" borderId="1" applyNumberFormat="0" applyAlignment="0" applyProtection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16" borderId="5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8" fillId="17" borderId="7" applyNumberFormat="0" applyFont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30" fillId="4" borderId="0" applyNumberFormat="0" applyBorder="0" applyAlignment="0" applyProtection="0"/>
    <xf numFmtId="0" fontId="31" fillId="22" borderId="8" applyNumberFormat="0" applyAlignment="0" applyProtection="0"/>
    <xf numFmtId="0" fontId="32" fillId="0" borderId="0" applyNumberFormat="0" applyFill="0" applyBorder="0" applyAlignment="0" applyProtection="0"/>
    <xf numFmtId="0" fontId="109" fillId="0" borderId="0"/>
    <xf numFmtId="0" fontId="8" fillId="0" borderId="0"/>
    <xf numFmtId="0" fontId="109" fillId="0" borderId="0"/>
    <xf numFmtId="0" fontId="4" fillId="0" borderId="0"/>
    <xf numFmtId="0" fontId="3" fillId="0" borderId="0"/>
    <xf numFmtId="0" fontId="8" fillId="0" borderId="0"/>
    <xf numFmtId="0" fontId="6" fillId="0" borderId="0"/>
    <xf numFmtId="0" fontId="50" fillId="0" borderId="0"/>
    <xf numFmtId="0" fontId="82" fillId="0" borderId="0"/>
    <xf numFmtId="0" fontId="10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23" borderId="0" applyNumberFormat="0" applyBorder="0" applyAlignment="0" applyProtection="0"/>
    <xf numFmtId="0" fontId="36" fillId="22" borderId="1" applyNumberFormat="0" applyAlignment="0" applyProtection="0"/>
    <xf numFmtId="0" fontId="3" fillId="0" borderId="0"/>
    <xf numFmtId="9" fontId="113" fillId="0" borderId="0" applyFont="0" applyFill="0" applyBorder="0" applyAlignment="0" applyProtection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58" fillId="0" borderId="0" applyNumberFormat="0" applyFill="0" applyBorder="0" applyAlignment="0" applyProtection="0"/>
    <xf numFmtId="164" fontId="113" fillId="0" borderId="0" applyFont="0" applyFill="0" applyBorder="0" applyAlignment="0" applyProtection="0"/>
  </cellStyleXfs>
  <cellXfs count="1934">
    <xf numFmtId="0" fontId="0" fillId="0" borderId="0" xfId="0"/>
    <xf numFmtId="0" fontId="109" fillId="0" borderId="0" xfId="45"/>
    <xf numFmtId="0" fontId="5" fillId="0" borderId="0" xfId="45" applyFont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45" applyFont="1"/>
    <xf numFmtId="0" fontId="18" fillId="0" borderId="0" xfId="0" applyFont="1"/>
    <xf numFmtId="0" fontId="17" fillId="0" borderId="0" xfId="0" applyFont="1" applyAlignment="1">
      <alignment horizontal="center"/>
    </xf>
    <xf numFmtId="0" fontId="9" fillId="0" borderId="10" xfId="45" applyFont="1" applyFill="1" applyBorder="1" applyAlignment="1">
      <alignment horizontal="center" wrapText="1"/>
    </xf>
    <xf numFmtId="0" fontId="13" fillId="0" borderId="0" xfId="45" applyFont="1" applyAlignment="1">
      <alignment horizontal="center"/>
    </xf>
    <xf numFmtId="0" fontId="14" fillId="0" borderId="10" xfId="45" applyFont="1" applyFill="1" applyBorder="1"/>
    <xf numFmtId="3" fontId="14" fillId="0" borderId="10" xfId="45" applyNumberFormat="1" applyFont="1" applyFill="1" applyBorder="1"/>
    <xf numFmtId="0" fontId="48" fillId="0" borderId="0" xfId="46" applyFont="1"/>
    <xf numFmtId="0" fontId="8" fillId="0" borderId="0" xfId="46"/>
    <xf numFmtId="0" fontId="7" fillId="0" borderId="0" xfId="46" applyFont="1"/>
    <xf numFmtId="0" fontId="13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61" fillId="0" borderId="0" xfId="45" applyFont="1"/>
    <xf numFmtId="0" fontId="47" fillId="0" borderId="0" xfId="45" applyFont="1"/>
    <xf numFmtId="0" fontId="51" fillId="0" borderId="0" xfId="50" applyFont="1"/>
    <xf numFmtId="0" fontId="13" fillId="0" borderId="0" xfId="0" applyFont="1" applyAlignment="1">
      <alignment horizontal="center"/>
    </xf>
    <xf numFmtId="0" fontId="9" fillId="0" borderId="16" xfId="46" applyFont="1" applyFill="1" applyBorder="1" applyAlignment="1">
      <alignment horizontal="center" vertical="center" wrapText="1"/>
    </xf>
    <xf numFmtId="166" fontId="9" fillId="0" borderId="0" xfId="63" applyNumberFormat="1" applyFont="1" applyFill="1" applyBorder="1" applyAlignment="1">
      <alignment horizontal="left" vertical="center"/>
    </xf>
    <xf numFmtId="166" fontId="16" fillId="0" borderId="0" xfId="63" applyNumberFormat="1" applyFont="1" applyFill="1" applyBorder="1" applyAlignment="1">
      <alignment horizontal="left" vertical="center"/>
    </xf>
    <xf numFmtId="166" fontId="47" fillId="0" borderId="0" xfId="63" applyNumberFormat="1" applyFont="1" applyFill="1" applyBorder="1" applyAlignment="1">
      <alignment horizontal="right" vertical="center"/>
    </xf>
    <xf numFmtId="0" fontId="14" fillId="0" borderId="0" xfId="46" applyFont="1" applyFill="1"/>
    <xf numFmtId="166" fontId="14" fillId="0" borderId="0" xfId="63" applyNumberFormat="1" applyFont="1" applyFill="1" applyBorder="1" applyAlignment="1">
      <alignment horizontal="left" vertical="center" wrapText="1"/>
    </xf>
    <xf numFmtId="166" fontId="15" fillId="0" borderId="0" xfId="63" applyNumberFormat="1" applyFont="1" applyFill="1" applyBorder="1" applyAlignment="1">
      <alignment horizontal="left" vertical="center" wrapText="1"/>
    </xf>
    <xf numFmtId="166" fontId="9" fillId="0" borderId="0" xfId="63" applyNumberFormat="1" applyFont="1" applyFill="1" applyBorder="1" applyAlignment="1">
      <alignment horizontal="left" vertical="center" wrapText="1"/>
    </xf>
    <xf numFmtId="166" fontId="16" fillId="0" borderId="0" xfId="63" applyNumberFormat="1" applyFont="1" applyFill="1" applyBorder="1" applyAlignment="1">
      <alignment horizontal="left" vertical="center" wrapText="1"/>
    </xf>
    <xf numFmtId="166" fontId="61" fillId="0" borderId="0" xfId="63" applyNumberFormat="1" applyFont="1" applyFill="1" applyBorder="1" applyAlignment="1">
      <alignment horizontal="right" vertical="center" wrapText="1"/>
    </xf>
    <xf numFmtId="0" fontId="9" fillId="0" borderId="0" xfId="46" applyFont="1" applyFill="1"/>
    <xf numFmtId="0" fontId="14" fillId="0" borderId="0" xfId="46" applyFont="1" applyFill="1" applyBorder="1" applyAlignment="1">
      <alignment wrapText="1"/>
    </xf>
    <xf numFmtId="0" fontId="14" fillId="0" borderId="0" xfId="46" applyFont="1" applyFill="1" applyBorder="1"/>
    <xf numFmtId="0" fontId="14" fillId="0" borderId="0" xfId="46" applyFont="1" applyFill="1" applyBorder="1" applyAlignment="1">
      <alignment horizontal="center" vertical="center"/>
    </xf>
    <xf numFmtId="0" fontId="14" fillId="0" borderId="0" xfId="46" applyFont="1" applyFill="1" applyBorder="1" applyAlignment="1">
      <alignment horizontal="left" wrapText="1"/>
    </xf>
    <xf numFmtId="0" fontId="14" fillId="0" borderId="0" xfId="46" applyFont="1" applyFill="1" applyAlignment="1">
      <alignment horizontal="center" vertical="center"/>
    </xf>
    <xf numFmtId="0" fontId="9" fillId="0" borderId="15" xfId="46" applyFont="1" applyFill="1" applyBorder="1" applyAlignment="1">
      <alignment horizontal="center" vertical="center" wrapText="1"/>
    </xf>
    <xf numFmtId="166" fontId="47" fillId="0" borderId="0" xfId="63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0" fontId="13" fillId="0" borderId="0" xfId="0" applyFont="1" applyFill="1"/>
    <xf numFmtId="49" fontId="55" fillId="0" borderId="0" xfId="0" applyNumberFormat="1" applyFont="1" applyAlignment="1">
      <alignment horizont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12" fillId="0" borderId="0" xfId="0" applyFont="1"/>
    <xf numFmtId="0" fontId="55" fillId="0" borderId="0" xfId="0" applyFont="1" applyAlignment="1">
      <alignment horizontal="center" vertical="center" wrapText="1"/>
    </xf>
    <xf numFmtId="0" fontId="66" fillId="0" borderId="0" xfId="0" applyFont="1"/>
    <xf numFmtId="0" fontId="60" fillId="0" borderId="0" xfId="0" applyFont="1"/>
    <xf numFmtId="3" fontId="55" fillId="0" borderId="0" xfId="0" applyNumberFormat="1" applyFont="1"/>
    <xf numFmtId="0" fontId="51" fillId="0" borderId="0" xfId="0" applyFont="1"/>
    <xf numFmtId="0" fontId="14" fillId="0" borderId="0" xfId="67" applyFont="1" applyAlignment="1">
      <alignment horizontal="center" vertical="center"/>
    </xf>
    <xf numFmtId="0" fontId="9" fillId="0" borderId="0" xfId="67" applyFont="1" applyAlignment="1">
      <alignment horizontal="center" vertical="center"/>
    </xf>
    <xf numFmtId="3" fontId="14" fillId="0" borderId="10" xfId="45" applyNumberFormat="1" applyFont="1" applyFill="1" applyBorder="1" applyAlignment="1">
      <alignment horizontal="right"/>
    </xf>
    <xf numFmtId="0" fontId="7" fillId="0" borderId="0" xfId="46" applyFont="1" applyAlignment="1">
      <alignment horizontal="center"/>
    </xf>
    <xf numFmtId="0" fontId="8" fillId="0" borderId="0" xfId="58"/>
    <xf numFmtId="0" fontId="8" fillId="0" borderId="0" xfId="58" applyBorder="1"/>
    <xf numFmtId="0" fontId="43" fillId="0" borderId="0" xfId="58" applyFont="1"/>
    <xf numFmtId="0" fontId="43" fillId="0" borderId="0" xfId="58" applyFont="1" applyAlignment="1">
      <alignment wrapText="1"/>
    </xf>
    <xf numFmtId="0" fontId="48" fillId="0" borderId="0" xfId="58" applyFont="1" applyBorder="1"/>
    <xf numFmtId="0" fontId="8" fillId="0" borderId="0" xfId="57"/>
    <xf numFmtId="0" fontId="69" fillId="0" borderId="0" xfId="57" applyFont="1"/>
    <xf numFmtId="0" fontId="40" fillId="0" borderId="0" xfId="57" applyFont="1"/>
    <xf numFmtId="0" fontId="39" fillId="0" borderId="0" xfId="57" applyFont="1"/>
    <xf numFmtId="0" fontId="70" fillId="0" borderId="0" xfId="57" applyFont="1"/>
    <xf numFmtId="0" fontId="37" fillId="0" borderId="0" xfId="57" applyFont="1"/>
    <xf numFmtId="0" fontId="71" fillId="0" borderId="0" xfId="57" applyFont="1"/>
    <xf numFmtId="0" fontId="8" fillId="0" borderId="0" xfId="57" applyBorder="1"/>
    <xf numFmtId="3" fontId="8" fillId="0" borderId="0" xfId="57" applyNumberFormat="1"/>
    <xf numFmtId="3" fontId="71" fillId="0" borderId="0" xfId="57" applyNumberFormat="1" applyFont="1"/>
    <xf numFmtId="0" fontId="8" fillId="0" borderId="24" xfId="57" applyBorder="1"/>
    <xf numFmtId="0" fontId="72" fillId="0" borderId="0" xfId="57" applyFont="1" applyBorder="1" applyAlignment="1">
      <alignment vertical="center"/>
    </xf>
    <xf numFmtId="0" fontId="68" fillId="0" borderId="0" xfId="67" applyFont="1" applyBorder="1" applyAlignment="1">
      <alignment horizontal="center" wrapText="1"/>
    </xf>
    <xf numFmtId="0" fontId="51" fillId="0" borderId="0" xfId="46" applyFont="1"/>
    <xf numFmtId="0" fontId="17" fillId="0" borderId="17" xfId="46" applyFont="1" applyFill="1" applyBorder="1" applyAlignment="1">
      <alignment horizontal="center" vertical="center" wrapText="1"/>
    </xf>
    <xf numFmtId="0" fontId="8" fillId="0" borderId="0" xfId="46" applyFont="1" applyAlignment="1">
      <alignment wrapText="1"/>
    </xf>
    <xf numFmtId="3" fontId="13" fillId="0" borderId="0" xfId="0" applyNumberFormat="1" applyFont="1" applyBorder="1"/>
    <xf numFmtId="3" fontId="42" fillId="0" borderId="0" xfId="58" applyNumberFormat="1" applyFont="1" applyFill="1" applyBorder="1"/>
    <xf numFmtId="3" fontId="41" fillId="0" borderId="0" xfId="58" applyNumberFormat="1" applyFont="1" applyFill="1" applyBorder="1"/>
    <xf numFmtId="0" fontId="38" fillId="0" borderId="0" xfId="58" applyNumberFormat="1" applyFont="1" applyBorder="1" applyAlignment="1">
      <alignment horizontal="center" vertical="center"/>
    </xf>
    <xf numFmtId="0" fontId="74" fillId="0" borderId="0" xfId="45" applyFont="1"/>
    <xf numFmtId="0" fontId="9" fillId="0" borderId="10" xfId="45" applyFont="1" applyFill="1" applyBorder="1"/>
    <xf numFmtId="3" fontId="9" fillId="0" borderId="10" xfId="45" applyNumberFormat="1" applyFont="1" applyFill="1" applyBorder="1"/>
    <xf numFmtId="0" fontId="11" fillId="0" borderId="0" xfId="0" applyFont="1"/>
    <xf numFmtId="0" fontId="51" fillId="25" borderId="0" xfId="0" applyFont="1" applyFill="1"/>
    <xf numFmtId="0" fontId="109" fillId="0" borderId="0" xfId="45" applyAlignment="1">
      <alignment wrapText="1"/>
    </xf>
    <xf numFmtId="0" fontId="45" fillId="0" borderId="0" xfId="0" applyFont="1" applyAlignment="1">
      <alignment horizontal="center" vertical="center"/>
    </xf>
    <xf numFmtId="0" fontId="76" fillId="0" borderId="0" xfId="45" applyFont="1" applyAlignment="1">
      <alignment vertical="center"/>
    </xf>
    <xf numFmtId="168" fontId="76" fillId="0" borderId="26" xfId="0" applyNumberFormat="1" applyFont="1" applyFill="1" applyBorder="1" applyAlignment="1">
      <alignment vertical="center"/>
    </xf>
    <xf numFmtId="0" fontId="76" fillId="0" borderId="10" xfId="0" applyFont="1" applyFill="1" applyBorder="1" applyAlignment="1">
      <alignment vertical="center" wrapText="1"/>
    </xf>
    <xf numFmtId="0" fontId="77" fillId="0" borderId="10" xfId="0" applyFont="1" applyFill="1" applyBorder="1" applyAlignment="1">
      <alignment horizontal="left" vertical="center" wrapText="1"/>
    </xf>
    <xf numFmtId="0" fontId="53" fillId="0" borderId="10" xfId="0" applyFont="1" applyFill="1" applyBorder="1" applyAlignment="1">
      <alignment horizontal="left" vertical="center" wrapText="1"/>
    </xf>
    <xf numFmtId="0" fontId="54" fillId="0" borderId="10" xfId="0" applyFont="1" applyFill="1" applyBorder="1" applyAlignment="1">
      <alignment horizontal="left" vertical="center" wrapText="1"/>
    </xf>
    <xf numFmtId="0" fontId="54" fillId="0" borderId="10" xfId="0" applyFont="1" applyFill="1" applyBorder="1" applyAlignment="1">
      <alignment vertical="center" wrapText="1"/>
    </xf>
    <xf numFmtId="0" fontId="54" fillId="0" borderId="10" xfId="0" applyFont="1" applyFill="1" applyBorder="1" applyAlignment="1">
      <alignment vertical="center"/>
    </xf>
    <xf numFmtId="0" fontId="54" fillId="0" borderId="22" xfId="0" applyFont="1" applyFill="1" applyBorder="1" applyAlignment="1">
      <alignment vertical="center"/>
    </xf>
    <xf numFmtId="168" fontId="77" fillId="26" borderId="26" xfId="0" applyNumberFormat="1" applyFont="1" applyFill="1" applyBorder="1" applyAlignment="1">
      <alignment vertical="center"/>
    </xf>
    <xf numFmtId="0" fontId="53" fillId="24" borderId="10" xfId="0" applyFont="1" applyFill="1" applyBorder="1" applyAlignment="1">
      <alignment horizontal="left" vertical="center" wrapText="1"/>
    </xf>
    <xf numFmtId="3" fontId="54" fillId="0" borderId="10" xfId="0" applyNumberFormat="1" applyFont="1" applyFill="1" applyBorder="1" applyAlignment="1">
      <alignment horizontal="right" vertical="center" wrapText="1"/>
    </xf>
    <xf numFmtId="0" fontId="76" fillId="0" borderId="26" xfId="0" applyFont="1" applyFill="1" applyBorder="1" applyAlignment="1">
      <alignment horizontal="left" vertical="center"/>
    </xf>
    <xf numFmtId="0" fontId="76" fillId="0" borderId="10" xfId="0" applyFont="1" applyFill="1" applyBorder="1" applyAlignment="1">
      <alignment horizontal="left" vertical="center" wrapText="1"/>
    </xf>
    <xf numFmtId="3" fontId="54" fillId="0" borderId="10" xfId="0" applyNumberFormat="1" applyFont="1" applyFill="1" applyBorder="1" applyAlignment="1">
      <alignment horizontal="left" vertical="center" wrapText="1"/>
    </xf>
    <xf numFmtId="0" fontId="77" fillId="24" borderId="26" xfId="0" applyFont="1" applyFill="1" applyBorder="1" applyAlignment="1">
      <alignment horizontal="left" vertical="center"/>
    </xf>
    <xf numFmtId="3" fontId="77" fillId="24" borderId="10" xfId="0" applyNumberFormat="1" applyFont="1" applyFill="1" applyBorder="1"/>
    <xf numFmtId="0" fontId="76" fillId="0" borderId="26" xfId="0" applyFont="1" applyFill="1" applyBorder="1" applyAlignment="1">
      <alignment horizontal="left" vertical="center" wrapText="1"/>
    </xf>
    <xf numFmtId="0" fontId="77" fillId="0" borderId="26" xfId="0" applyFont="1" applyFill="1" applyBorder="1" applyAlignment="1">
      <alignment horizontal="left" vertical="center"/>
    </xf>
    <xf numFmtId="3" fontId="77" fillId="24" borderId="10" xfId="0" applyNumberFormat="1" applyFont="1" applyFill="1" applyBorder="1" applyAlignment="1">
      <alignment horizontal="right"/>
    </xf>
    <xf numFmtId="3" fontId="77" fillId="24" borderId="27" xfId="0" applyNumberFormat="1" applyFont="1" applyFill="1" applyBorder="1" applyAlignment="1">
      <alignment horizontal="right"/>
    </xf>
    <xf numFmtId="0" fontId="45" fillId="0" borderId="0" xfId="0" applyFont="1" applyAlignment="1">
      <alignment horizontal="center" wrapText="1"/>
    </xf>
    <xf numFmtId="3" fontId="76" fillId="0" borderId="10" xfId="0" applyNumberFormat="1" applyFont="1" applyBorder="1" applyAlignment="1">
      <alignment horizontal="right"/>
    </xf>
    <xf numFmtId="3" fontId="76" fillId="0" borderId="27" xfId="0" applyNumberFormat="1" applyFont="1" applyBorder="1" applyAlignment="1">
      <alignment horizontal="right"/>
    </xf>
    <xf numFmtId="0" fontId="77" fillId="26" borderId="26" xfId="0" applyFont="1" applyFill="1" applyBorder="1" applyAlignment="1">
      <alignment horizontal="left" vertical="center"/>
    </xf>
    <xf numFmtId="0" fontId="77" fillId="26" borderId="10" xfId="0" applyFont="1" applyFill="1" applyBorder="1" applyAlignment="1">
      <alignment horizontal="left" vertical="center" wrapText="1"/>
    </xf>
    <xf numFmtId="3" fontId="77" fillId="26" borderId="10" xfId="0" applyNumberFormat="1" applyFont="1" applyFill="1" applyBorder="1" applyAlignment="1">
      <alignment horizontal="right"/>
    </xf>
    <xf numFmtId="3" fontId="77" fillId="26" borderId="27" xfId="0" applyNumberFormat="1" applyFont="1" applyFill="1" applyBorder="1" applyAlignment="1">
      <alignment horizontal="right"/>
    </xf>
    <xf numFmtId="0" fontId="76" fillId="28" borderId="26" xfId="0" applyFont="1" applyFill="1" applyBorder="1" applyAlignment="1">
      <alignment horizontal="left" vertical="center"/>
    </xf>
    <xf numFmtId="0" fontId="76" fillId="28" borderId="10" xfId="0" applyFont="1" applyFill="1" applyBorder="1"/>
    <xf numFmtId="3" fontId="76" fillId="28" borderId="10" xfId="0" applyNumberFormat="1" applyFont="1" applyFill="1" applyBorder="1" applyAlignment="1">
      <alignment horizontal="right"/>
    </xf>
    <xf numFmtId="3" fontId="76" fillId="28" borderId="27" xfId="0" applyNumberFormat="1" applyFont="1" applyFill="1" applyBorder="1" applyAlignment="1">
      <alignment horizontal="right"/>
    </xf>
    <xf numFmtId="0" fontId="78" fillId="0" borderId="26" xfId="0" applyFont="1" applyFill="1" applyBorder="1" applyAlignment="1">
      <alignment horizontal="left" vertical="center" wrapText="1"/>
    </xf>
    <xf numFmtId="0" fontId="76" fillId="0" borderId="10" xfId="0" applyFont="1" applyFill="1" applyBorder="1" applyAlignment="1">
      <alignment horizontal="left" vertical="center"/>
    </xf>
    <xf numFmtId="0" fontId="53" fillId="26" borderId="10" xfId="0" applyFont="1" applyFill="1" applyBorder="1" applyAlignment="1">
      <alignment horizontal="left" vertical="center" wrapText="1"/>
    </xf>
    <xf numFmtId="3" fontId="54" fillId="0" borderId="27" xfId="0" applyNumberFormat="1" applyFont="1" applyFill="1" applyBorder="1" applyAlignment="1">
      <alignment horizontal="right" vertical="center" wrapText="1"/>
    </xf>
    <xf numFmtId="3" fontId="54" fillId="0" borderId="10" xfId="0" applyNumberFormat="1" applyFont="1" applyFill="1" applyBorder="1" applyAlignment="1">
      <alignment horizontal="right" vertical="center"/>
    </xf>
    <xf numFmtId="3" fontId="54" fillId="0" borderId="27" xfId="0" applyNumberFormat="1" applyFont="1" applyFill="1" applyBorder="1" applyAlignment="1">
      <alignment horizontal="right" vertical="center"/>
    </xf>
    <xf numFmtId="0" fontId="54" fillId="26" borderId="10" xfId="0" applyFont="1" applyFill="1" applyBorder="1" applyAlignment="1">
      <alignment horizontal="left" vertical="center" wrapText="1"/>
    </xf>
    <xf numFmtId="0" fontId="53" fillId="24" borderId="10" xfId="0" applyFont="1" applyFill="1" applyBorder="1" applyAlignment="1">
      <alignment horizontal="left" vertical="center"/>
    </xf>
    <xf numFmtId="0" fontId="77" fillId="24" borderId="26" xfId="0" applyFont="1" applyFill="1" applyBorder="1" applyAlignment="1">
      <alignment horizontal="left" vertical="center" wrapText="1"/>
    </xf>
    <xf numFmtId="168" fontId="76" fillId="26" borderId="26" xfId="0" applyNumberFormat="1" applyFont="1" applyFill="1" applyBorder="1" applyAlignment="1">
      <alignment vertical="center"/>
    </xf>
    <xf numFmtId="3" fontId="76" fillId="0" borderId="10" xfId="0" applyNumberFormat="1" applyFont="1" applyBorder="1"/>
    <xf numFmtId="3" fontId="76" fillId="0" borderId="27" xfId="0" applyNumberFormat="1" applyFont="1" applyBorder="1"/>
    <xf numFmtId="3" fontId="77" fillId="0" borderId="10" xfId="0" applyNumberFormat="1" applyFont="1" applyBorder="1"/>
    <xf numFmtId="3" fontId="54" fillId="0" borderId="10" xfId="0" applyNumberFormat="1" applyFont="1" applyFill="1" applyBorder="1" applyAlignment="1">
      <alignment horizontal="left" vertical="center"/>
    </xf>
    <xf numFmtId="3" fontId="77" fillId="0" borderId="10" xfId="0" applyNumberFormat="1" applyFont="1" applyBorder="1" applyAlignment="1">
      <alignment horizontal="right"/>
    </xf>
    <xf numFmtId="3" fontId="77" fillId="0" borderId="27" xfId="0" applyNumberFormat="1" applyFont="1" applyBorder="1" applyAlignment="1">
      <alignment horizontal="right"/>
    </xf>
    <xf numFmtId="3" fontId="76" fillId="26" borderId="10" xfId="0" applyNumberFormat="1" applyFont="1" applyFill="1" applyBorder="1" applyAlignment="1">
      <alignment horizontal="right"/>
    </xf>
    <xf numFmtId="3" fontId="76" fillId="26" borderId="27" xfId="0" applyNumberFormat="1" applyFont="1" applyFill="1" applyBorder="1" applyAlignment="1">
      <alignment horizontal="right"/>
    </xf>
    <xf numFmtId="0" fontId="76" fillId="27" borderId="34" xfId="0" applyFont="1" applyFill="1" applyBorder="1"/>
    <xf numFmtId="0" fontId="77" fillId="27" borderId="35" xfId="0" applyFont="1" applyFill="1" applyBorder="1"/>
    <xf numFmtId="3" fontId="77" fillId="26" borderId="10" xfId="0" applyNumberFormat="1" applyFont="1" applyFill="1" applyBorder="1"/>
    <xf numFmtId="3" fontId="76" fillId="28" borderId="10" xfId="0" applyNumberFormat="1" applyFont="1" applyFill="1" applyBorder="1"/>
    <xf numFmtId="3" fontId="77" fillId="27" borderId="35" xfId="0" applyNumberFormat="1" applyFont="1" applyFill="1" applyBorder="1" applyAlignment="1">
      <alignment horizontal="right"/>
    </xf>
    <xf numFmtId="3" fontId="77" fillId="27" borderId="36" xfId="0" applyNumberFormat="1" applyFont="1" applyFill="1" applyBorder="1" applyAlignment="1">
      <alignment horizontal="right"/>
    </xf>
    <xf numFmtId="0" fontId="54" fillId="0" borderId="0" xfId="46" applyFont="1" applyFill="1" applyBorder="1" applyAlignment="1">
      <alignment horizontal="center" vertical="center"/>
    </xf>
    <xf numFmtId="0" fontId="54" fillId="0" borderId="0" xfId="46" applyFont="1" applyFill="1" applyBorder="1" applyAlignment="1">
      <alignment wrapText="1"/>
    </xf>
    <xf numFmtId="0" fontId="18" fillId="0" borderId="0" xfId="0" applyFont="1" applyAlignment="1">
      <alignment horizontal="center"/>
    </xf>
    <xf numFmtId="0" fontId="9" fillId="0" borderId="10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 wrapText="1"/>
    </xf>
    <xf numFmtId="0" fontId="45" fillId="0" borderId="0" xfId="0" applyFont="1" applyAlignment="1"/>
    <xf numFmtId="0" fontId="67" fillId="0" borderId="0" xfId="0" applyFont="1" applyAlignment="1"/>
    <xf numFmtId="0" fontId="60" fillId="0" borderId="16" xfId="0" applyFont="1" applyBorder="1" applyAlignment="1">
      <alignment horizontal="center" vertical="center" wrapText="1"/>
    </xf>
    <xf numFmtId="0" fontId="54" fillId="0" borderId="23" xfId="0" applyFont="1" applyFill="1" applyBorder="1" applyAlignment="1">
      <alignment vertical="center"/>
    </xf>
    <xf numFmtId="0" fontId="53" fillId="24" borderId="17" xfId="0" applyFont="1" applyFill="1" applyBorder="1" applyAlignment="1">
      <alignment horizontal="left" vertical="center" wrapText="1"/>
    </xf>
    <xf numFmtId="0" fontId="53" fillId="29" borderId="17" xfId="0" applyFont="1" applyFill="1" applyBorder="1" applyAlignment="1">
      <alignment horizontal="left" vertical="center" wrapText="1"/>
    </xf>
    <xf numFmtId="0" fontId="17" fillId="0" borderId="0" xfId="67" applyFont="1" applyAlignment="1">
      <alignment horizontal="center" vertical="center"/>
    </xf>
    <xf numFmtId="0" fontId="80" fillId="0" borderId="0" xfId="0" applyFont="1" applyAlignment="1">
      <alignment vertical="center"/>
    </xf>
    <xf numFmtId="0" fontId="16" fillId="29" borderId="17" xfId="67" applyFont="1" applyFill="1" applyBorder="1" applyAlignment="1">
      <alignment vertical="center"/>
    </xf>
    <xf numFmtId="0" fontId="16" fillId="24" borderId="17" xfId="67" applyFont="1" applyFill="1" applyBorder="1" applyAlignment="1">
      <alignment vertical="center"/>
    </xf>
    <xf numFmtId="3" fontId="83" fillId="0" borderId="23" xfId="27" applyNumberFormat="1" applyFont="1" applyBorder="1" applyAlignment="1">
      <alignment horizontal="right"/>
    </xf>
    <xf numFmtId="0" fontId="49" fillId="0" borderId="0" xfId="50" applyFont="1" applyBorder="1" applyAlignment="1">
      <alignment wrapText="1"/>
    </xf>
    <xf numFmtId="3" fontId="83" fillId="0" borderId="0" xfId="27" applyNumberFormat="1" applyFont="1" applyBorder="1" applyAlignment="1">
      <alignment horizontal="right"/>
    </xf>
    <xf numFmtId="165" fontId="83" fillId="0" borderId="23" xfId="27" applyNumberFormat="1" applyFont="1" applyBorder="1" applyAlignment="1">
      <alignment horizontal="right"/>
    </xf>
    <xf numFmtId="3" fontId="83" fillId="0" borderId="23" xfId="27" applyNumberFormat="1" applyFont="1" applyFill="1" applyBorder="1" applyAlignment="1">
      <alignment horizontal="right"/>
    </xf>
    <xf numFmtId="0" fontId="9" fillId="29" borderId="10" xfId="45" applyFont="1" applyFill="1" applyBorder="1"/>
    <xf numFmtId="3" fontId="9" fillId="29" borderId="10" xfId="45" applyNumberFormat="1" applyFont="1" applyFill="1" applyBorder="1"/>
    <xf numFmtId="0" fontId="44" fillId="24" borderId="22" xfId="45" applyFont="1" applyFill="1" applyBorder="1"/>
    <xf numFmtId="0" fontId="14" fillId="24" borderId="22" xfId="45" applyFont="1" applyFill="1" applyBorder="1"/>
    <xf numFmtId="3" fontId="44" fillId="24" borderId="22" xfId="45" applyNumberFormat="1" applyFont="1" applyFill="1" applyBorder="1"/>
    <xf numFmtId="0" fontId="85" fillId="0" borderId="10" xfId="59" applyFont="1" applyFill="1" applyBorder="1" applyAlignment="1">
      <alignment horizontal="left"/>
    </xf>
    <xf numFmtId="1" fontId="14" fillId="0" borderId="10" xfId="45" applyNumberFormat="1" applyFont="1" applyFill="1" applyBorder="1"/>
    <xf numFmtId="0" fontId="68" fillId="0" borderId="0" xfId="68" applyFont="1" applyBorder="1" applyAlignment="1">
      <alignment wrapText="1"/>
    </xf>
    <xf numFmtId="0" fontId="45" fillId="0" borderId="0" xfId="68" applyFont="1" applyBorder="1" applyAlignment="1">
      <alignment horizontal="center" wrapText="1"/>
    </xf>
    <xf numFmtId="0" fontId="9" fillId="0" borderId="0" xfId="46" applyFont="1" applyAlignment="1">
      <alignment horizontal="center"/>
    </xf>
    <xf numFmtId="0" fontId="51" fillId="0" borderId="0" xfId="58" applyFont="1"/>
    <xf numFmtId="0" fontId="51" fillId="0" borderId="0" xfId="58" applyFont="1" applyBorder="1"/>
    <xf numFmtId="0" fontId="75" fillId="0" borderId="0" xfId="58" applyFont="1" applyBorder="1"/>
    <xf numFmtId="0" fontId="63" fillId="0" borderId="0" xfId="58" applyFont="1" applyBorder="1"/>
    <xf numFmtId="0" fontId="75" fillId="0" borderId="0" xfId="58" applyFont="1" applyBorder="1" applyAlignment="1">
      <alignment horizontal="right"/>
    </xf>
    <xf numFmtId="0" fontId="63" fillId="0" borderId="0" xfId="58" applyFont="1"/>
    <xf numFmtId="0" fontId="81" fillId="0" borderId="0" xfId="58" applyFont="1" applyBorder="1" applyAlignment="1">
      <alignment horizontal="center"/>
    </xf>
    <xf numFmtId="0" fontId="62" fillId="0" borderId="0" xfId="46" applyFont="1"/>
    <xf numFmtId="0" fontId="62" fillId="0" borderId="0" xfId="58" applyFont="1" applyBorder="1"/>
    <xf numFmtId="0" fontId="52" fillId="0" borderId="0" xfId="58" applyFont="1" applyBorder="1"/>
    <xf numFmtId="0" fontId="52" fillId="0" borderId="0" xfId="58" applyFont="1" applyBorder="1" applyAlignment="1">
      <alignment horizontal="center"/>
    </xf>
    <xf numFmtId="0" fontId="46" fillId="0" borderId="0" xfId="57" applyFont="1"/>
    <xf numFmtId="0" fontId="51" fillId="0" borderId="0" xfId="57" applyFont="1"/>
    <xf numFmtId="0" fontId="63" fillId="0" borderId="0" xfId="57" applyFont="1"/>
    <xf numFmtId="0" fontId="58" fillId="0" borderId="0" xfId="57" applyFont="1" applyBorder="1" applyAlignment="1">
      <alignment horizontal="center" vertical="center"/>
    </xf>
    <xf numFmtId="0" fontId="51" fillId="0" borderId="0" xfId="50" applyFont="1" applyBorder="1" applyAlignment="1">
      <alignment horizontal="center" vertical="center"/>
    </xf>
    <xf numFmtId="0" fontId="63" fillId="0" borderId="0" xfId="57" applyFont="1" applyAlignment="1">
      <alignment wrapText="1"/>
    </xf>
    <xf numFmtId="0" fontId="60" fillId="0" borderId="25" xfId="57" applyFont="1" applyBorder="1" applyAlignment="1">
      <alignment vertical="center"/>
    </xf>
    <xf numFmtId="0" fontId="88" fillId="0" borderId="26" xfId="57" applyFont="1" applyBorder="1" applyAlignment="1">
      <alignment vertical="center" wrapText="1"/>
    </xf>
    <xf numFmtId="0" fontId="89" fillId="0" borderId="0" xfId="57" applyFont="1" applyAlignment="1">
      <alignment wrapText="1"/>
    </xf>
    <xf numFmtId="0" fontId="60" fillId="0" borderId="26" xfId="57" applyFont="1" applyBorder="1" applyAlignment="1">
      <alignment vertical="center"/>
    </xf>
    <xf numFmtId="171" fontId="73" fillId="0" borderId="0" xfId="57" applyNumberFormat="1" applyFont="1" applyAlignment="1">
      <alignment wrapText="1"/>
    </xf>
    <xf numFmtId="0" fontId="73" fillId="0" borderId="0" xfId="57" applyFont="1" applyAlignment="1">
      <alignment wrapText="1"/>
    </xf>
    <xf numFmtId="171" fontId="89" fillId="0" borderId="0" xfId="57" applyNumberFormat="1" applyFont="1" applyAlignment="1">
      <alignment wrapText="1"/>
    </xf>
    <xf numFmtId="0" fontId="73" fillId="0" borderId="0" xfId="57" applyFont="1"/>
    <xf numFmtId="0" fontId="89" fillId="0" borderId="0" xfId="57" applyFont="1"/>
    <xf numFmtId="0" fontId="66" fillId="0" borderId="26" xfId="57" applyFont="1" applyBorder="1" applyAlignment="1">
      <alignment vertical="center"/>
    </xf>
    <xf numFmtId="171" fontId="90" fillId="0" borderId="0" xfId="57" applyNumberFormat="1" applyFont="1" applyAlignment="1">
      <alignment wrapText="1"/>
    </xf>
    <xf numFmtId="0" fontId="90" fillId="0" borderId="0" xfId="57" applyFont="1"/>
    <xf numFmtId="0" fontId="89" fillId="0" borderId="0" xfId="57" applyFont="1" applyBorder="1"/>
    <xf numFmtId="0" fontId="58" fillId="0" borderId="0" xfId="57" applyFont="1" applyBorder="1"/>
    <xf numFmtId="0" fontId="58" fillId="0" borderId="0" xfId="57" applyFont="1"/>
    <xf numFmtId="0" fontId="84" fillId="0" borderId="0" xfId="57" applyFont="1" applyBorder="1"/>
    <xf numFmtId="0" fontId="84" fillId="0" borderId="0" xfId="57" applyFont="1"/>
    <xf numFmtId="0" fontId="88" fillId="0" borderId="30" xfId="57" applyFont="1" applyBorder="1" applyAlignment="1">
      <alignment vertical="center" wrapText="1"/>
    </xf>
    <xf numFmtId="0" fontId="60" fillId="0" borderId="16" xfId="57" applyFont="1" applyBorder="1" applyAlignment="1">
      <alignment vertical="center"/>
    </xf>
    <xf numFmtId="0" fontId="51" fillId="0" borderId="0" xfId="57" applyFont="1" applyBorder="1"/>
    <xf numFmtId="0" fontId="66" fillId="0" borderId="44" xfId="57" applyFont="1" applyBorder="1" applyAlignment="1">
      <alignment vertical="center" wrapText="1"/>
    </xf>
    <xf numFmtId="0" fontId="17" fillId="0" borderId="0" xfId="46" applyFont="1" applyAlignment="1"/>
    <xf numFmtId="0" fontId="16" fillId="0" borderId="0" xfId="46" applyFont="1" applyAlignment="1">
      <alignment horizontal="center" wrapText="1"/>
    </xf>
    <xf numFmtId="166" fontId="16" fillId="0" borderId="40" xfId="63" applyNumberFormat="1" applyFont="1" applyFill="1" applyBorder="1" applyAlignment="1">
      <alignment horizontal="center" vertical="center" wrapText="1"/>
    </xf>
    <xf numFmtId="0" fontId="14" fillId="0" borderId="43" xfId="46" applyFont="1" applyFill="1" applyBorder="1" applyAlignment="1">
      <alignment vertical="center"/>
    </xf>
    <xf numFmtId="166" fontId="13" fillId="0" borderId="40" xfId="63" applyNumberFormat="1" applyFont="1" applyFill="1" applyBorder="1" applyAlignment="1">
      <alignment horizontal="left" vertical="center" wrapText="1"/>
    </xf>
    <xf numFmtId="0" fontId="9" fillId="0" borderId="16" xfId="46" applyFont="1" applyFill="1" applyBorder="1" applyAlignment="1">
      <alignment vertical="center"/>
    </xf>
    <xf numFmtId="166" fontId="16" fillId="0" borderId="17" xfId="63" applyNumberFormat="1" applyFont="1" applyFill="1" applyBorder="1" applyAlignment="1">
      <alignment horizontal="left" vertical="center"/>
    </xf>
    <xf numFmtId="0" fontId="109" fillId="0" borderId="0" xfId="54"/>
    <xf numFmtId="0" fontId="92" fillId="0" borderId="0" xfId="54" applyFont="1"/>
    <xf numFmtId="0" fontId="18" fillId="0" borderId="0" xfId="54" applyFont="1"/>
    <xf numFmtId="166" fontId="46" fillId="0" borderId="25" xfId="63" applyNumberFormat="1" applyFont="1" applyFill="1" applyBorder="1" applyAlignment="1">
      <alignment vertical="center" wrapText="1"/>
    </xf>
    <xf numFmtId="0" fontId="18" fillId="0" borderId="10" xfId="54" applyFont="1" applyFill="1" applyBorder="1" applyAlignment="1">
      <alignment horizontal="left" vertical="center"/>
    </xf>
    <xf numFmtId="168" fontId="45" fillId="0" borderId="10" xfId="54" applyNumberFormat="1" applyFont="1" applyFill="1" applyBorder="1" applyAlignment="1">
      <alignment vertical="center"/>
    </xf>
    <xf numFmtId="0" fontId="18" fillId="0" borderId="26" xfId="54" applyFont="1" applyFill="1" applyBorder="1" applyAlignment="1">
      <alignment horizontal="left" vertical="center" wrapText="1"/>
    </xf>
    <xf numFmtId="0" fontId="45" fillId="0" borderId="26" xfId="54" applyFont="1" applyFill="1" applyBorder="1" applyAlignment="1">
      <alignment horizontal="left" vertical="center" wrapText="1"/>
    </xf>
    <xf numFmtId="0" fontId="45" fillId="0" borderId="10" xfId="54" applyFont="1" applyFill="1" applyBorder="1" applyAlignment="1">
      <alignment horizontal="left" vertical="center"/>
    </xf>
    <xf numFmtId="168" fontId="18" fillId="0" borderId="10" xfId="54" applyNumberFormat="1" applyFont="1" applyFill="1" applyBorder="1" applyAlignment="1">
      <alignment vertical="center"/>
    </xf>
    <xf numFmtId="0" fontId="17" fillId="0" borderId="26" xfId="54" applyFont="1" applyFill="1" applyBorder="1" applyAlignment="1">
      <alignment horizontal="left" vertical="center" wrapText="1"/>
    </xf>
    <xf numFmtId="0" fontId="18" fillId="0" borderId="10" xfId="54" applyFont="1" applyFill="1" applyBorder="1" applyAlignment="1">
      <alignment horizontal="left" vertical="center" wrapText="1"/>
    </xf>
    <xf numFmtId="0" fontId="46" fillId="0" borderId="26" xfId="54" applyFont="1" applyFill="1" applyBorder="1" applyAlignment="1">
      <alignment horizontal="left" vertical="center" wrapText="1"/>
    </xf>
    <xf numFmtId="0" fontId="46" fillId="0" borderId="26" xfId="54" applyFont="1" applyFill="1" applyBorder="1" applyAlignment="1">
      <alignment horizontal="left" vertical="center"/>
    </xf>
    <xf numFmtId="3" fontId="46" fillId="0" borderId="10" xfId="54" applyNumberFormat="1" applyFont="1" applyFill="1" applyBorder="1" applyAlignment="1">
      <alignment horizontal="right" vertical="center"/>
    </xf>
    <xf numFmtId="0" fontId="45" fillId="0" borderId="10" xfId="54" applyFont="1" applyFill="1" applyBorder="1" applyAlignment="1">
      <alignment horizontal="left" vertical="center" wrapText="1"/>
    </xf>
    <xf numFmtId="0" fontId="17" fillId="0" borderId="0" xfId="54" applyFont="1" applyFill="1" applyBorder="1" applyAlignment="1">
      <alignment horizontal="left" vertical="center"/>
    </xf>
    <xf numFmtId="168" fontId="45" fillId="26" borderId="10" xfId="54" applyNumberFormat="1" applyFont="1" applyFill="1" applyBorder="1" applyAlignment="1">
      <alignment vertical="center"/>
    </xf>
    <xf numFmtId="0" fontId="45" fillId="26" borderId="10" xfId="54" applyFont="1" applyFill="1" applyBorder="1" applyAlignment="1">
      <alignment horizontal="left" vertical="center"/>
    </xf>
    <xf numFmtId="0" fontId="17" fillId="24" borderId="26" xfId="54" applyFont="1" applyFill="1" applyBorder="1" applyAlignment="1">
      <alignment horizontal="left" vertical="center" wrapText="1"/>
    </xf>
    <xf numFmtId="0" fontId="45" fillId="24" borderId="10" xfId="54" applyFont="1" applyFill="1" applyBorder="1" applyAlignment="1">
      <alignment horizontal="left" vertical="center"/>
    </xf>
    <xf numFmtId="0" fontId="17" fillId="24" borderId="26" xfId="54" applyFont="1" applyFill="1" applyBorder="1" applyAlignment="1">
      <alignment horizontal="left" vertical="center"/>
    </xf>
    <xf numFmtId="0" fontId="45" fillId="24" borderId="10" xfId="54" applyFont="1" applyFill="1" applyBorder="1" applyAlignment="1">
      <alignment horizontal="left" vertical="center" wrapText="1"/>
    </xf>
    <xf numFmtId="168" fontId="45" fillId="24" borderId="10" xfId="54" applyNumberFormat="1" applyFont="1" applyFill="1" applyBorder="1" applyAlignment="1">
      <alignment vertical="center"/>
    </xf>
    <xf numFmtId="3" fontId="17" fillId="24" borderId="10" xfId="54" applyNumberFormat="1" applyFont="1" applyFill="1" applyBorder="1" applyAlignment="1">
      <alignment horizontal="right" vertical="center"/>
    </xf>
    <xf numFmtId="3" fontId="94" fillId="27" borderId="35" xfId="54" applyNumberFormat="1" applyFont="1" applyFill="1" applyBorder="1" applyAlignment="1">
      <alignment horizontal="right" vertical="center" wrapText="1"/>
    </xf>
    <xf numFmtId="0" fontId="17" fillId="0" borderId="26" xfId="54" applyFont="1" applyFill="1" applyBorder="1" applyAlignment="1">
      <alignment horizontal="left" vertical="center"/>
    </xf>
    <xf numFmtId="0" fontId="45" fillId="0" borderId="0" xfId="45" applyFont="1" applyAlignment="1">
      <alignment horizontal="center"/>
    </xf>
    <xf numFmtId="0" fontId="62" fillId="0" borderId="0" xfId="67" applyFont="1"/>
    <xf numFmtId="0" fontId="86" fillId="0" borderId="0" xfId="67" applyFont="1" applyBorder="1" applyAlignment="1">
      <alignment horizontal="center" vertical="center"/>
    </xf>
    <xf numFmtId="0" fontId="87" fillId="0" borderId="0" xfId="67" applyFont="1" applyBorder="1" applyAlignment="1">
      <alignment horizontal="justify" vertical="center" wrapText="1"/>
    </xf>
    <xf numFmtId="0" fontId="18" fillId="0" borderId="0" xfId="45" applyFont="1"/>
    <xf numFmtId="0" fontId="45" fillId="0" borderId="0" xfId="45" applyFont="1"/>
    <xf numFmtId="3" fontId="18" fillId="0" borderId="0" xfId="45" applyNumberFormat="1" applyFont="1"/>
    <xf numFmtId="0" fontId="18" fillId="0" borderId="26" xfId="45" applyFont="1" applyFill="1" applyBorder="1" applyAlignment="1">
      <alignment horizontal="left" vertical="center"/>
    </xf>
    <xf numFmtId="0" fontId="45" fillId="26" borderId="26" xfId="45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/>
    </xf>
    <xf numFmtId="0" fontId="46" fillId="0" borderId="10" xfId="0" applyFont="1" applyFill="1" applyBorder="1" applyAlignment="1">
      <alignment horizontal="left" vertical="center" wrapText="1"/>
    </xf>
    <xf numFmtId="0" fontId="45" fillId="24" borderId="26" xfId="0" applyFont="1" applyFill="1" applyBorder="1" applyAlignment="1">
      <alignment horizontal="left" vertical="center"/>
    </xf>
    <xf numFmtId="0" fontId="17" fillId="24" borderId="10" xfId="0" applyFont="1" applyFill="1" applyBorder="1" applyAlignment="1">
      <alignment horizontal="left" vertical="center" wrapText="1"/>
    </xf>
    <xf numFmtId="0" fontId="45" fillId="28" borderId="26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 wrapText="1"/>
    </xf>
    <xf numFmtId="0" fontId="45" fillId="0" borderId="26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76" fillId="0" borderId="0" xfId="45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45" fillId="24" borderId="0" xfId="0" applyFont="1" applyFill="1" applyBorder="1" applyAlignment="1">
      <alignment horizontal="left" vertical="center"/>
    </xf>
    <xf numFmtId="0" fontId="17" fillId="24" borderId="0" xfId="0" applyFont="1" applyFill="1" applyBorder="1" applyAlignment="1">
      <alignment horizontal="left" vertical="center" wrapText="1"/>
    </xf>
    <xf numFmtId="0" fontId="45" fillId="28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5" fillId="24" borderId="0" xfId="0" applyFont="1" applyFill="1" applyBorder="1" applyAlignment="1">
      <alignment horizontal="left" vertical="center" wrapText="1"/>
    </xf>
    <xf numFmtId="0" fontId="17" fillId="24" borderId="0" xfId="0" applyFont="1" applyFill="1" applyBorder="1" applyAlignment="1">
      <alignment horizontal="left" vertical="center"/>
    </xf>
    <xf numFmtId="0" fontId="18" fillId="27" borderId="0" xfId="0" applyFont="1" applyFill="1" applyBorder="1"/>
    <xf numFmtId="0" fontId="45" fillId="27" borderId="0" xfId="0" applyFont="1" applyFill="1" applyBorder="1"/>
    <xf numFmtId="0" fontId="18" fillId="0" borderId="0" xfId="0" applyFont="1" applyBorder="1"/>
    <xf numFmtId="0" fontId="79" fillId="0" borderId="17" xfId="0" applyFont="1" applyFill="1" applyBorder="1" applyAlignment="1">
      <alignment horizontal="left" vertical="center" wrapText="1"/>
    </xf>
    <xf numFmtId="0" fontId="46" fillId="0" borderId="23" xfId="0" applyFont="1" applyFill="1" applyBorder="1" applyAlignment="1">
      <alignment horizontal="left" vertical="center" wrapText="1"/>
    </xf>
    <xf numFmtId="166" fontId="18" fillId="0" borderId="10" xfId="63" applyNumberFormat="1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vertical="center" wrapText="1"/>
    </xf>
    <xf numFmtId="0" fontId="17" fillId="24" borderId="26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96" fillId="0" borderId="10" xfId="67" applyFont="1" applyFill="1" applyBorder="1" applyAlignment="1">
      <alignment horizontal="justify" vertical="center" wrapText="1"/>
    </xf>
    <xf numFmtId="0" fontId="97" fillId="30" borderId="0" xfId="67" applyFont="1" applyFill="1" applyAlignment="1">
      <alignment horizontal="justify"/>
    </xf>
    <xf numFmtId="0" fontId="96" fillId="0" borderId="10" xfId="67" applyFont="1" applyBorder="1" applyAlignment="1">
      <alignment horizontal="justify" vertical="center" wrapText="1"/>
    </xf>
    <xf numFmtId="0" fontId="97" fillId="0" borderId="0" xfId="67" applyFont="1" applyAlignment="1">
      <alignment horizontal="justify"/>
    </xf>
    <xf numFmtId="0" fontId="96" fillId="0" borderId="0" xfId="67" applyFont="1" applyBorder="1" applyAlignment="1">
      <alignment horizontal="justify" wrapText="1"/>
    </xf>
    <xf numFmtId="0" fontId="96" fillId="0" borderId="0" xfId="67" applyFont="1" applyBorder="1" applyAlignment="1">
      <alignment horizontal="justify"/>
    </xf>
    <xf numFmtId="0" fontId="97" fillId="0" borderId="0" xfId="56" applyFont="1" applyAlignment="1">
      <alignment horizontal="justify"/>
    </xf>
    <xf numFmtId="0" fontId="96" fillId="0" borderId="0" xfId="67" applyFont="1" applyBorder="1" applyAlignment="1">
      <alignment horizontal="justify" vertical="center" wrapText="1"/>
    </xf>
    <xf numFmtId="0" fontId="96" fillId="0" borderId="0" xfId="56" applyFont="1" applyBorder="1" applyAlignment="1">
      <alignment horizontal="justify" wrapText="1"/>
    </xf>
    <xf numFmtId="4" fontId="96" fillId="0" borderId="0" xfId="67" applyNumberFormat="1" applyFont="1" applyBorder="1" applyAlignment="1">
      <alignment horizontal="justify"/>
    </xf>
    <xf numFmtId="0" fontId="97" fillId="0" borderId="0" xfId="66" applyFont="1" applyAlignment="1">
      <alignment horizontal="justify"/>
    </xf>
    <xf numFmtId="0" fontId="96" fillId="0" borderId="10" xfId="67" applyFont="1" applyBorder="1" applyAlignment="1">
      <alignment horizontal="left" vertical="center"/>
    </xf>
    <xf numFmtId="0" fontId="97" fillId="0" borderId="0" xfId="67" applyFont="1"/>
    <xf numFmtId="0" fontId="96" fillId="0" borderId="0" xfId="45" applyFont="1"/>
    <xf numFmtId="0" fontId="99" fillId="0" borderId="0" xfId="45" applyFont="1" applyAlignment="1">
      <alignment vertical="center"/>
    </xf>
    <xf numFmtId="3" fontId="99" fillId="0" borderId="0" xfId="45" applyNumberFormat="1" applyFont="1" applyAlignment="1">
      <alignment vertical="center"/>
    </xf>
    <xf numFmtId="0" fontId="62" fillId="0" borderId="0" xfId="0" applyFont="1"/>
    <xf numFmtId="0" fontId="86" fillId="0" borderId="11" xfId="46" applyFont="1" applyFill="1" applyBorder="1" applyAlignment="1">
      <alignment vertical="center" wrapText="1"/>
    </xf>
    <xf numFmtId="0" fontId="52" fillId="0" borderId="17" xfId="46" applyFont="1" applyFill="1" applyBorder="1" applyAlignment="1">
      <alignment horizontal="center" vertical="center" wrapText="1"/>
    </xf>
    <xf numFmtId="3" fontId="52" fillId="0" borderId="17" xfId="46" applyNumberFormat="1" applyFont="1" applyBorder="1" applyAlignment="1">
      <alignment horizontal="center" vertical="center" wrapText="1"/>
    </xf>
    <xf numFmtId="0" fontId="52" fillId="0" borderId="15" xfId="46" applyFont="1" applyFill="1" applyBorder="1" applyAlignment="1">
      <alignment horizontal="center" vertical="center" wrapText="1"/>
    </xf>
    <xf numFmtId="0" fontId="102" fillId="0" borderId="0" xfId="0" applyFont="1"/>
    <xf numFmtId="0" fontId="103" fillId="0" borderId="0" xfId="0" applyFont="1"/>
    <xf numFmtId="0" fontId="14" fillId="0" borderId="0" xfId="67" applyFont="1"/>
    <xf numFmtId="0" fontId="104" fillId="0" borderId="14" xfId="58" applyFont="1" applyFill="1" applyBorder="1" applyAlignment="1">
      <alignment horizontal="left"/>
    </xf>
    <xf numFmtId="0" fontId="104" fillId="0" borderId="50" xfId="58" applyFont="1" applyFill="1" applyBorder="1" applyAlignment="1">
      <alignment horizontal="left"/>
    </xf>
    <xf numFmtId="3" fontId="105" fillId="0" borderId="37" xfId="58" applyNumberFormat="1" applyFont="1" applyFill="1" applyBorder="1"/>
    <xf numFmtId="3" fontId="6" fillId="0" borderId="37" xfId="58" applyNumberFormat="1" applyFont="1" applyFill="1" applyBorder="1"/>
    <xf numFmtId="0" fontId="106" fillId="0" borderId="14" xfId="56" applyFont="1" applyBorder="1" applyAlignment="1">
      <alignment horizontal="left" wrapText="1"/>
    </xf>
    <xf numFmtId="0" fontId="8" fillId="0" borderId="0" xfId="58" applyBorder="1" applyAlignment="1">
      <alignment horizontal="left"/>
    </xf>
    <xf numFmtId="0" fontId="8" fillId="0" borderId="0" xfId="58" applyNumberFormat="1" applyBorder="1"/>
    <xf numFmtId="3" fontId="107" fillId="0" borderId="10" xfId="58" applyNumberFormat="1" applyFont="1" applyFill="1" applyBorder="1"/>
    <xf numFmtId="0" fontId="18" fillId="0" borderId="0" xfId="49" applyFont="1"/>
    <xf numFmtId="0" fontId="59" fillId="0" borderId="0" xfId="49" applyFont="1"/>
    <xf numFmtId="0" fontId="45" fillId="26" borderId="0" xfId="49" applyFont="1" applyFill="1" applyBorder="1" applyAlignment="1">
      <alignment horizontal="left" vertical="center"/>
    </xf>
    <xf numFmtId="0" fontId="45" fillId="26" borderId="0" xfId="49" applyFont="1" applyFill="1" applyBorder="1" applyAlignment="1">
      <alignment horizontal="left" vertical="center" wrapText="1"/>
    </xf>
    <xf numFmtId="0" fontId="18" fillId="0" borderId="0" xfId="49" applyFont="1" applyBorder="1"/>
    <xf numFmtId="3" fontId="18" fillId="0" borderId="0" xfId="49" applyNumberFormat="1" applyFont="1" applyBorder="1"/>
    <xf numFmtId="3" fontId="45" fillId="0" borderId="0" xfId="49" applyNumberFormat="1" applyFont="1" applyBorder="1"/>
    <xf numFmtId="0" fontId="18" fillId="0" borderId="0" xfId="49" applyFont="1" applyFill="1" applyBorder="1"/>
    <xf numFmtId="0" fontId="53" fillId="0" borderId="10" xfId="46" applyFont="1" applyFill="1" applyBorder="1" applyAlignment="1">
      <alignment horizontal="center" vertical="center" wrapText="1"/>
    </xf>
    <xf numFmtId="0" fontId="46" fillId="0" borderId="10" xfId="46" applyFont="1" applyFill="1" applyBorder="1" applyAlignment="1">
      <alignment horizontal="center" vertical="center"/>
    </xf>
    <xf numFmtId="0" fontId="17" fillId="24" borderId="10" xfId="46" applyFont="1" applyFill="1" applyBorder="1" applyAlignment="1">
      <alignment horizontal="center" vertical="center"/>
    </xf>
    <xf numFmtId="166" fontId="45" fillId="24" borderId="10" xfId="63" applyNumberFormat="1" applyFont="1" applyFill="1" applyBorder="1" applyAlignment="1">
      <alignment horizontal="left" vertical="center" wrapText="1"/>
    </xf>
    <xf numFmtId="0" fontId="45" fillId="0" borderId="0" xfId="68" applyNumberFormat="1" applyFont="1" applyBorder="1" applyAlignment="1">
      <alignment horizontal="center" wrapText="1"/>
    </xf>
    <xf numFmtId="3" fontId="87" fillId="0" borderId="10" xfId="49" applyNumberFormat="1" applyFont="1" applyBorder="1"/>
    <xf numFmtId="0" fontId="14" fillId="0" borderId="22" xfId="0" applyFont="1" applyFill="1" applyBorder="1" applyAlignment="1">
      <alignment horizontal="left" vertical="center"/>
    </xf>
    <xf numFmtId="0" fontId="17" fillId="0" borderId="0" xfId="46" applyFont="1" applyFill="1" applyAlignment="1">
      <alignment horizontal="center"/>
    </xf>
    <xf numFmtId="0" fontId="17" fillId="0" borderId="0" xfId="46" applyFont="1" applyFill="1" applyAlignment="1">
      <alignment horizontal="center" vertical="center"/>
    </xf>
    <xf numFmtId="0" fontId="17" fillId="0" borderId="10" xfId="46" applyFont="1" applyFill="1" applyBorder="1" applyAlignment="1">
      <alignment horizontal="center" vertical="center"/>
    </xf>
    <xf numFmtId="0" fontId="17" fillId="0" borderId="10" xfId="46" applyFont="1" applyFill="1" applyBorder="1" applyAlignment="1">
      <alignment horizontal="center" vertical="center" wrapText="1"/>
    </xf>
    <xf numFmtId="0" fontId="46" fillId="0" borderId="0" xfId="46" applyFont="1" applyFill="1" applyBorder="1" applyAlignment="1">
      <alignment horizontal="center" vertical="center"/>
    </xf>
    <xf numFmtId="0" fontId="46" fillId="0" borderId="0" xfId="46" applyFont="1" applyFill="1" applyBorder="1"/>
    <xf numFmtId="3" fontId="96" fillId="0" borderId="10" xfId="45" applyNumberFormat="1" applyFont="1" applyFill="1" applyBorder="1" applyAlignment="1">
      <alignment vertical="center"/>
    </xf>
    <xf numFmtId="3" fontId="108" fillId="0" borderId="10" xfId="45" applyNumberFormat="1" applyFont="1" applyFill="1" applyBorder="1" applyAlignment="1">
      <alignment vertical="center"/>
    </xf>
    <xf numFmtId="0" fontId="46" fillId="0" borderId="0" xfId="0" applyFont="1" applyFill="1"/>
    <xf numFmtId="0" fontId="46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Font="1" applyFill="1" applyBorder="1"/>
    <xf numFmtId="0" fontId="46" fillId="0" borderId="0" xfId="0" applyFont="1" applyAlignment="1">
      <alignment horizontal="center"/>
    </xf>
    <xf numFmtId="0" fontId="110" fillId="0" borderId="0" xfId="0" applyFont="1"/>
    <xf numFmtId="3" fontId="46" fillId="0" borderId="0" xfId="32" applyNumberFormat="1" applyFont="1"/>
    <xf numFmtId="0" fontId="46" fillId="0" borderId="0" xfId="70" applyFont="1"/>
    <xf numFmtId="1" fontId="111" fillId="0" borderId="0" xfId="55" applyNumberFormat="1" applyFont="1"/>
    <xf numFmtId="1" fontId="112" fillId="0" borderId="0" xfId="55" applyNumberFormat="1" applyFont="1"/>
    <xf numFmtId="1" fontId="45" fillId="0" borderId="0" xfId="55" applyNumberFormat="1" applyFont="1"/>
    <xf numFmtId="1" fontId="18" fillId="0" borderId="0" xfId="55" applyNumberFormat="1" applyFont="1"/>
    <xf numFmtId="0" fontId="46" fillId="0" borderId="0" xfId="65" applyFont="1" applyBorder="1" applyAlignment="1">
      <alignment horizontal="right" vertical="center"/>
    </xf>
    <xf numFmtId="1" fontId="45" fillId="0" borderId="0" xfId="55" applyNumberFormat="1" applyFont="1" applyBorder="1"/>
    <xf numFmtId="1" fontId="18" fillId="0" borderId="0" xfId="55" applyNumberFormat="1" applyFont="1" applyBorder="1"/>
    <xf numFmtId="1" fontId="46" fillId="0" borderId="0" xfId="55" applyNumberFormat="1" applyFont="1"/>
    <xf numFmtId="0" fontId="46" fillId="0" borderId="0" xfId="65" applyFont="1" applyAlignment="1">
      <alignment horizontal="right" vertical="center"/>
    </xf>
    <xf numFmtId="0" fontId="46" fillId="0" borderId="10" xfId="70" applyFont="1" applyBorder="1"/>
    <xf numFmtId="1" fontId="18" fillId="0" borderId="10" xfId="55" applyNumberFormat="1" applyFont="1" applyBorder="1"/>
    <xf numFmtId="170" fontId="46" fillId="0" borderId="0" xfId="70" applyNumberFormat="1" applyFont="1"/>
    <xf numFmtId="170" fontId="18" fillId="0" borderId="10" xfId="55" applyNumberFormat="1" applyFont="1" applyBorder="1"/>
    <xf numFmtId="3" fontId="46" fillId="0" borderId="0" xfId="70" applyNumberFormat="1" applyFont="1"/>
    <xf numFmtId="0" fontId="10" fillId="0" borderId="0" xfId="76" applyFont="1"/>
    <xf numFmtId="0" fontId="45" fillId="0" borderId="0" xfId="76" applyFont="1" applyAlignment="1">
      <alignment vertical="center" wrapText="1"/>
    </xf>
    <xf numFmtId="0" fontId="18" fillId="0" borderId="0" xfId="76" applyFont="1"/>
    <xf numFmtId="0" fontId="11" fillId="0" borderId="0" xfId="76" applyFont="1"/>
    <xf numFmtId="0" fontId="10" fillId="0" borderId="0" xfId="76" applyFont="1" applyAlignment="1">
      <alignment horizontal="center" vertical="justify"/>
    </xf>
    <xf numFmtId="0" fontId="13" fillId="0" borderId="0" xfId="76" applyFont="1"/>
    <xf numFmtId="10" fontId="87" fillId="0" borderId="10" xfId="77" applyNumberFormat="1" applyFont="1" applyBorder="1"/>
    <xf numFmtId="172" fontId="87" fillId="0" borderId="10" xfId="49" applyNumberFormat="1" applyFont="1" applyBorder="1"/>
    <xf numFmtId="3" fontId="87" fillId="0" borderId="10" xfId="49" applyNumberFormat="1" applyFont="1" applyBorder="1" applyAlignment="1">
      <alignment horizontal="right"/>
    </xf>
    <xf numFmtId="3" fontId="17" fillId="0" borderId="10" xfId="54" applyNumberFormat="1" applyFont="1" applyFill="1" applyBorder="1" applyAlignment="1">
      <alignment horizontal="right" vertical="center"/>
    </xf>
    <xf numFmtId="0" fontId="18" fillId="0" borderId="0" xfId="78" applyFont="1"/>
    <xf numFmtId="0" fontId="13" fillId="0" borderId="0" xfId="78" applyFont="1"/>
    <xf numFmtId="0" fontId="59" fillId="0" borderId="0" xfId="78" applyFont="1"/>
    <xf numFmtId="0" fontId="18" fillId="0" borderId="0" xfId="78" applyFont="1" applyAlignment="1">
      <alignment horizontal="right"/>
    </xf>
    <xf numFmtId="0" fontId="16" fillId="0" borderId="16" xfId="78" applyFont="1" applyFill="1" applyBorder="1" applyAlignment="1">
      <alignment horizontal="center" vertical="center"/>
    </xf>
    <xf numFmtId="0" fontId="16" fillId="0" borderId="17" xfId="78" applyFont="1" applyFill="1" applyBorder="1" applyAlignment="1">
      <alignment horizontal="center" vertical="center" wrapText="1"/>
    </xf>
    <xf numFmtId="0" fontId="16" fillId="0" borderId="25" xfId="78" applyFont="1" applyFill="1" applyBorder="1" applyAlignment="1">
      <alignment vertical="center" wrapText="1"/>
    </xf>
    <xf numFmtId="168" fontId="16" fillId="0" borderId="23" xfId="78" applyNumberFormat="1" applyFont="1" applyFill="1" applyBorder="1" applyAlignment="1">
      <alignment vertical="center"/>
    </xf>
    <xf numFmtId="0" fontId="16" fillId="0" borderId="26" xfId="78" applyFont="1" applyFill="1" applyBorder="1" applyAlignment="1">
      <alignment horizontal="left" vertical="center" wrapText="1"/>
    </xf>
    <xf numFmtId="168" fontId="16" fillId="0" borderId="10" xfId="78" applyNumberFormat="1" applyFont="1" applyFill="1" applyBorder="1" applyAlignment="1">
      <alignment vertical="center"/>
    </xf>
    <xf numFmtId="0" fontId="9" fillId="0" borderId="26" xfId="78" applyFont="1" applyFill="1" applyBorder="1" applyAlignment="1">
      <alignment horizontal="left" vertical="center" wrapText="1"/>
    </xf>
    <xf numFmtId="0" fontId="91" fillId="26" borderId="26" xfId="78" applyFont="1" applyFill="1" applyBorder="1"/>
    <xf numFmtId="0" fontId="91" fillId="26" borderId="10" xfId="78" applyFont="1" applyFill="1" applyBorder="1"/>
    <xf numFmtId="0" fontId="16" fillId="0" borderId="26" xfId="78" applyFont="1" applyFill="1" applyBorder="1" applyAlignment="1">
      <alignment horizontal="left" vertical="center"/>
    </xf>
    <xf numFmtId="3" fontId="16" fillId="26" borderId="10" xfId="78" applyNumberFormat="1" applyFont="1" applyFill="1" applyBorder="1" applyAlignment="1">
      <alignment horizontal="center"/>
    </xf>
    <xf numFmtId="0" fontId="16" fillId="24" borderId="26" xfId="78" applyFont="1" applyFill="1" applyBorder="1" applyAlignment="1">
      <alignment horizontal="left" vertical="center"/>
    </xf>
    <xf numFmtId="168" fontId="16" fillId="24" borderId="10" xfId="78" applyNumberFormat="1" applyFont="1" applyFill="1" applyBorder="1" applyAlignment="1">
      <alignment vertical="center"/>
    </xf>
    <xf numFmtId="0" fontId="9" fillId="0" borderId="26" xfId="78" applyFont="1" applyFill="1" applyBorder="1" applyAlignment="1">
      <alignment horizontal="left" vertical="center"/>
    </xf>
    <xf numFmtId="0" fontId="16" fillId="0" borderId="10" xfId="78" applyFont="1" applyFill="1" applyBorder="1" applyAlignment="1">
      <alignment horizontal="left" vertical="center" wrapText="1"/>
    </xf>
    <xf numFmtId="0" fontId="9" fillId="0" borderId="0" xfId="78" applyFont="1" applyFill="1" applyBorder="1" applyAlignment="1">
      <alignment horizontal="left" vertical="center"/>
    </xf>
    <xf numFmtId="0" fontId="13" fillId="0" borderId="0" xfId="78" applyFont="1" applyBorder="1"/>
    <xf numFmtId="0" fontId="14" fillId="0" borderId="26" xfId="78" applyFont="1" applyFill="1" applyBorder="1" applyAlignment="1">
      <alignment horizontal="left" vertical="center" wrapText="1"/>
    </xf>
    <xf numFmtId="0" fontId="13" fillId="0" borderId="10" xfId="78" applyFont="1" applyFill="1" applyBorder="1" applyAlignment="1">
      <alignment horizontal="left" vertical="center" wrapText="1"/>
    </xf>
    <xf numFmtId="0" fontId="14" fillId="0" borderId="0" xfId="78" applyFont="1" applyFill="1" applyBorder="1" applyAlignment="1">
      <alignment horizontal="left" vertical="center" wrapText="1"/>
    </xf>
    <xf numFmtId="0" fontId="9" fillId="24" borderId="30" xfId="78" applyFont="1" applyFill="1" applyBorder="1" applyAlignment="1">
      <alignment horizontal="left" vertical="center"/>
    </xf>
    <xf numFmtId="0" fontId="16" fillId="24" borderId="22" xfId="78" applyFont="1" applyFill="1" applyBorder="1" applyAlignment="1">
      <alignment horizontal="left" vertical="center" wrapText="1"/>
    </xf>
    <xf numFmtId="0" fontId="16" fillId="27" borderId="16" xfId="78" applyFont="1" applyFill="1" applyBorder="1"/>
    <xf numFmtId="0" fontId="13" fillId="27" borderId="17" xfId="78" applyFont="1" applyFill="1" applyBorder="1"/>
    <xf numFmtId="0" fontId="18" fillId="0" borderId="0" xfId="78" applyFont="1" applyBorder="1"/>
    <xf numFmtId="0" fontId="16" fillId="0" borderId="25" xfId="78" applyFont="1" applyFill="1" applyBorder="1" applyAlignment="1">
      <alignment horizontal="left" vertical="center" wrapText="1"/>
    </xf>
    <xf numFmtId="0" fontId="16" fillId="0" borderId="23" xfId="78" applyFont="1" applyFill="1" applyBorder="1" applyAlignment="1">
      <alignment horizontal="left" vertical="center"/>
    </xf>
    <xf numFmtId="0" fontId="16" fillId="0" borderId="10" xfId="78" applyFont="1" applyFill="1" applyBorder="1" applyAlignment="1">
      <alignment horizontal="left" vertical="center"/>
    </xf>
    <xf numFmtId="0" fontId="16" fillId="26" borderId="10" xfId="78" applyFont="1" applyFill="1" applyBorder="1" applyAlignment="1">
      <alignment horizontal="left" vertical="center"/>
    </xf>
    <xf numFmtId="0" fontId="9" fillId="24" borderId="26" xfId="78" applyFont="1" applyFill="1" applyBorder="1" applyAlignment="1">
      <alignment horizontal="left" vertical="center" wrapText="1"/>
    </xf>
    <xf numFmtId="0" fontId="16" fillId="24" borderId="10" xfId="78" applyFont="1" applyFill="1" applyBorder="1" applyAlignment="1">
      <alignment horizontal="left" vertical="center"/>
    </xf>
    <xf numFmtId="0" fontId="16" fillId="28" borderId="26" xfId="78" applyFont="1" applyFill="1" applyBorder="1"/>
    <xf numFmtId="0" fontId="16" fillId="28" borderId="10" xfId="78" applyFont="1" applyFill="1" applyBorder="1" applyAlignment="1">
      <alignment horizontal="left" vertical="center"/>
    </xf>
    <xf numFmtId="3" fontId="13" fillId="0" borderId="0" xfId="78" applyNumberFormat="1" applyFont="1" applyBorder="1"/>
    <xf numFmtId="0" fontId="48" fillId="0" borderId="0" xfId="58" applyFont="1" applyBorder="1" applyAlignment="1">
      <alignment vertical="center"/>
    </xf>
    <xf numFmtId="3" fontId="13" fillId="0" borderId="0" xfId="0" applyNumberFormat="1" applyFont="1"/>
    <xf numFmtId="0" fontId="55" fillId="0" borderId="0" xfId="0" applyFont="1" applyAlignment="1"/>
    <xf numFmtId="10" fontId="109" fillId="0" borderId="0" xfId="45" applyNumberFormat="1"/>
    <xf numFmtId="173" fontId="109" fillId="0" borderId="0" xfId="45" applyNumberFormat="1"/>
    <xf numFmtId="0" fontId="2" fillId="0" borderId="0" xfId="45" applyFont="1"/>
    <xf numFmtId="14" fontId="109" fillId="0" borderId="0" xfId="45" applyNumberFormat="1"/>
    <xf numFmtId="0" fontId="3" fillId="0" borderId="0" xfId="45" applyFont="1"/>
    <xf numFmtId="0" fontId="17" fillId="0" borderId="0" xfId="57" applyFont="1" applyBorder="1" applyAlignment="1">
      <alignment horizontal="center" vertical="center"/>
    </xf>
    <xf numFmtId="0" fontId="46" fillId="0" borderId="0" xfId="50" applyFont="1" applyBorder="1" applyAlignment="1">
      <alignment horizontal="center" vertical="center"/>
    </xf>
    <xf numFmtId="0" fontId="17" fillId="0" borderId="0" xfId="80" applyFont="1" applyFill="1" applyBorder="1" applyAlignment="1"/>
    <xf numFmtId="0" fontId="60" fillId="0" borderId="0" xfId="80" applyFont="1" applyFill="1" applyBorder="1" applyAlignment="1"/>
    <xf numFmtId="0" fontId="51" fillId="0" borderId="0" xfId="81" applyFont="1" applyFill="1"/>
    <xf numFmtId="0" fontId="14" fillId="0" borderId="0" xfId="81" applyFont="1" applyFill="1"/>
    <xf numFmtId="0" fontId="51" fillId="0" borderId="0" xfId="81" applyFont="1" applyFill="1" applyBorder="1" applyAlignment="1">
      <alignment vertical="center"/>
    </xf>
    <xf numFmtId="0" fontId="114" fillId="0" borderId="0" xfId="81" applyFont="1" applyFill="1" applyBorder="1" applyAlignment="1">
      <alignment vertical="center"/>
    </xf>
    <xf numFmtId="167" fontId="46" fillId="0" borderId="0" xfId="81" applyNumberFormat="1" applyFont="1" applyFill="1" applyBorder="1"/>
    <xf numFmtId="3" fontId="46" fillId="0" borderId="0" xfId="81" applyNumberFormat="1" applyFont="1" applyFill="1" applyAlignment="1">
      <alignment horizontal="right"/>
    </xf>
    <xf numFmtId="0" fontId="46" fillId="0" borderId="0" xfId="81" applyFont="1" applyFill="1" applyBorder="1" applyAlignment="1">
      <alignment horizontal="right"/>
    </xf>
    <xf numFmtId="0" fontId="51" fillId="0" borderId="0" xfId="81" applyFont="1" applyFill="1" applyBorder="1" applyAlignment="1">
      <alignment horizontal="right"/>
    </xf>
    <xf numFmtId="0" fontId="14" fillId="0" borderId="0" xfId="81" applyFont="1" applyFill="1" applyBorder="1"/>
    <xf numFmtId="0" fontId="9" fillId="0" borderId="0" xfId="81" applyFont="1" applyFill="1" applyBorder="1" applyAlignment="1">
      <alignment horizontal="center" vertical="center"/>
    </xf>
    <xf numFmtId="167" fontId="46" fillId="0" borderId="0" xfId="81" applyNumberFormat="1" applyFont="1" applyFill="1"/>
    <xf numFmtId="0" fontId="51" fillId="0" borderId="0" xfId="81" applyFont="1" applyFill="1" applyAlignment="1">
      <alignment vertical="center"/>
    </xf>
    <xf numFmtId="3" fontId="14" fillId="0" borderId="0" xfId="81" applyNumberFormat="1" applyFont="1" applyFill="1"/>
    <xf numFmtId="10" fontId="109" fillId="0" borderId="0" xfId="45" applyNumberFormat="1" applyBorder="1"/>
    <xf numFmtId="0" fontId="2" fillId="0" borderId="0" xfId="45" applyFont="1" applyBorder="1"/>
    <xf numFmtId="3" fontId="8" fillId="0" borderId="0" xfId="57" applyNumberFormat="1" applyBorder="1"/>
    <xf numFmtId="0" fontId="76" fillId="0" borderId="26" xfId="79" applyFont="1" applyFill="1" applyBorder="1" applyAlignment="1">
      <alignment horizontal="left" vertical="center"/>
    </xf>
    <xf numFmtId="0" fontId="76" fillId="0" borderId="10" xfId="79" applyFont="1" applyFill="1" applyBorder="1" applyAlignment="1">
      <alignment horizontal="left" vertical="center" wrapText="1"/>
    </xf>
    <xf numFmtId="3" fontId="11" fillId="0" borderId="0" xfId="0" applyNumberFormat="1" applyFont="1"/>
    <xf numFmtId="0" fontId="76" fillId="0" borderId="26" xfId="84" applyFont="1" applyFill="1" applyBorder="1" applyAlignment="1">
      <alignment horizontal="left" vertical="center"/>
    </xf>
    <xf numFmtId="0" fontId="76" fillId="0" borderId="10" xfId="84" applyFont="1" applyFill="1" applyBorder="1" applyAlignment="1">
      <alignment horizontal="left" vertical="center" wrapText="1"/>
    </xf>
    <xf numFmtId="0" fontId="45" fillId="0" borderId="0" xfId="0" applyFont="1" applyAlignment="1">
      <alignment horizontal="center"/>
    </xf>
    <xf numFmtId="0" fontId="52" fillId="0" borderId="0" xfId="46" applyFont="1" applyAlignment="1">
      <alignment horizontal="center"/>
    </xf>
    <xf numFmtId="0" fontId="17" fillId="0" borderId="0" xfId="46" applyFont="1" applyAlignment="1">
      <alignment horizontal="center"/>
    </xf>
    <xf numFmtId="0" fontId="45" fillId="0" borderId="0" xfId="57" applyFont="1" applyBorder="1" applyAlignment="1">
      <alignment horizontal="center" wrapText="1"/>
    </xf>
    <xf numFmtId="3" fontId="102" fillId="0" borderId="0" xfId="0" applyNumberFormat="1" applyFont="1"/>
    <xf numFmtId="0" fontId="86" fillId="0" borderId="0" xfId="58" applyFont="1" applyBorder="1" applyAlignment="1">
      <alignment wrapText="1"/>
    </xf>
    <xf numFmtId="0" fontId="52" fillId="0" borderId="0" xfId="46" applyFont="1" applyAlignment="1"/>
    <xf numFmtId="173" fontId="2" fillId="0" borderId="0" xfId="84" applyNumberFormat="1" applyFont="1"/>
    <xf numFmtId="0" fontId="62" fillId="0" borderId="0" xfId="67" applyFont="1" applyAlignment="1">
      <alignment vertical="top"/>
    </xf>
    <xf numFmtId="0" fontId="55" fillId="0" borderId="0" xfId="0" applyFont="1" applyAlignment="1">
      <alignment vertical="center"/>
    </xf>
    <xf numFmtId="0" fontId="9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3" fontId="102" fillId="25" borderId="0" xfId="0" applyNumberFormat="1" applyFont="1" applyFill="1"/>
    <xf numFmtId="3" fontId="62" fillId="25" borderId="0" xfId="0" applyNumberFormat="1" applyFont="1" applyFill="1"/>
    <xf numFmtId="0" fontId="108" fillId="0" borderId="10" xfId="67" applyFont="1" applyBorder="1" applyAlignment="1">
      <alignment horizontal="center" vertical="center"/>
    </xf>
    <xf numFmtId="0" fontId="96" fillId="0" borderId="10" xfId="46" applyFont="1" applyBorder="1" applyAlignment="1">
      <alignment horizontal="left" vertical="center" wrapText="1"/>
    </xf>
    <xf numFmtId="0" fontId="18" fillId="0" borderId="0" xfId="45" applyFont="1" applyAlignment="1">
      <alignment horizontal="center"/>
    </xf>
    <xf numFmtId="3" fontId="118" fillId="0" borderId="10" xfId="63" applyNumberFormat="1" applyFont="1" applyFill="1" applyBorder="1" applyAlignment="1">
      <alignment vertical="center"/>
    </xf>
    <xf numFmtId="3" fontId="103" fillId="24" borderId="10" xfId="63" applyNumberFormat="1" applyFont="1" applyFill="1" applyBorder="1" applyAlignment="1">
      <alignment vertical="center" wrapText="1"/>
    </xf>
    <xf numFmtId="3" fontId="102" fillId="0" borderId="10" xfId="63" applyNumberFormat="1" applyFont="1" applyFill="1" applyBorder="1" applyAlignment="1">
      <alignment horizontal="right" vertical="center" wrapText="1"/>
    </xf>
    <xf numFmtId="3" fontId="103" fillId="24" borderId="10" xfId="63" applyNumberFormat="1" applyFont="1" applyFill="1" applyBorder="1" applyAlignment="1">
      <alignment horizontal="right" vertical="center" wrapText="1"/>
    </xf>
    <xf numFmtId="0" fontId="45" fillId="0" borderId="46" xfId="0" applyFont="1" applyFill="1" applyBorder="1" applyAlignment="1">
      <alignment horizontal="center" vertical="center" wrapText="1"/>
    </xf>
    <xf numFmtId="0" fontId="122" fillId="0" borderId="23" xfId="59" applyFont="1" applyFill="1" applyBorder="1" applyAlignment="1">
      <alignment horizontal="left"/>
    </xf>
    <xf numFmtId="0" fontId="62" fillId="0" borderId="0" xfId="64" applyFont="1" applyBorder="1" applyAlignment="1">
      <alignment horizontal="right" vertical="center"/>
    </xf>
    <xf numFmtId="168" fontId="45" fillId="0" borderId="23" xfId="54" applyNumberFormat="1" applyFont="1" applyFill="1" applyBorder="1" applyAlignment="1">
      <alignment vertical="center"/>
    </xf>
    <xf numFmtId="0" fontId="45" fillId="0" borderId="17" xfId="54" applyFont="1" applyFill="1" applyBorder="1" applyAlignment="1">
      <alignment horizontal="center" vertical="center" wrapText="1"/>
    </xf>
    <xf numFmtId="0" fontId="46" fillId="0" borderId="17" xfId="70" applyFont="1" applyBorder="1"/>
    <xf numFmtId="1" fontId="17" fillId="0" borderId="17" xfId="55" applyNumberFormat="1" applyFont="1" applyBorder="1"/>
    <xf numFmtId="170" fontId="17" fillId="0" borderId="17" xfId="55" applyNumberFormat="1" applyFont="1" applyBorder="1"/>
    <xf numFmtId="3" fontId="9" fillId="0" borderId="23" xfId="57" applyNumberFormat="1" applyFont="1" applyBorder="1" applyAlignment="1">
      <alignment vertical="center"/>
    </xf>
    <xf numFmtId="3" fontId="9" fillId="0" borderId="29" xfId="57" applyNumberFormat="1" applyFont="1" applyBorder="1" applyAlignment="1">
      <alignment horizontal="right" vertical="center" wrapText="1"/>
    </xf>
    <xf numFmtId="3" fontId="9" fillId="0" borderId="10" xfId="57" applyNumberFormat="1" applyFont="1" applyBorder="1" applyAlignment="1">
      <alignment horizontal="right" vertical="center"/>
    </xf>
    <xf numFmtId="3" fontId="65" fillId="0" borderId="10" xfId="57" applyNumberFormat="1" applyFont="1" applyBorder="1" applyAlignment="1">
      <alignment horizontal="right" vertical="center" wrapText="1"/>
    </xf>
    <xf numFmtId="3" fontId="9" fillId="0" borderId="17" xfId="57" applyNumberFormat="1" applyFont="1" applyBorder="1" applyAlignment="1">
      <alignment horizontal="right" vertical="center"/>
    </xf>
    <xf numFmtId="3" fontId="44" fillId="0" borderId="45" xfId="57" applyNumberFormat="1" applyFont="1" applyBorder="1" applyAlignment="1">
      <alignment horizontal="right" vertical="center" wrapText="1"/>
    </xf>
    <xf numFmtId="0" fontId="9" fillId="0" borderId="17" xfId="57" applyFont="1" applyBorder="1" applyAlignment="1">
      <alignment horizontal="center" vertical="center" wrapText="1"/>
    </xf>
    <xf numFmtId="0" fontId="9" fillId="0" borderId="17" xfId="57" applyFont="1" applyBorder="1" applyAlignment="1">
      <alignment horizontal="center" vertical="center"/>
    </xf>
    <xf numFmtId="0" fontId="9" fillId="0" borderId="15" xfId="57" applyFont="1" applyBorder="1" applyAlignment="1">
      <alignment horizontal="center" vertical="center" wrapText="1"/>
    </xf>
    <xf numFmtId="0" fontId="13" fillId="0" borderId="0" xfId="46" applyFont="1" applyAlignment="1">
      <alignment horizontal="right" wrapText="1"/>
    </xf>
    <xf numFmtId="0" fontId="14" fillId="0" borderId="0" xfId="46" applyFont="1" applyAlignment="1">
      <alignment horizontal="right"/>
    </xf>
    <xf numFmtId="3" fontId="14" fillId="0" borderId="47" xfId="63" applyNumberFormat="1" applyFont="1" applyFill="1" applyBorder="1" applyAlignment="1">
      <alignment horizontal="center" vertical="center" wrapText="1"/>
    </xf>
    <xf numFmtId="3" fontId="9" fillId="0" borderId="15" xfId="63" applyNumberFormat="1" applyFont="1" applyFill="1" applyBorder="1" applyAlignment="1">
      <alignment horizontal="center" vertical="center"/>
    </xf>
    <xf numFmtId="3" fontId="18" fillId="0" borderId="23" xfId="78" applyNumberFormat="1" applyFont="1" applyBorder="1" applyAlignment="1">
      <alignment horizontal="right"/>
    </xf>
    <xf numFmtId="3" fontId="18" fillId="0" borderId="10" xfId="78" applyNumberFormat="1" applyFont="1" applyBorder="1" applyAlignment="1">
      <alignment horizontal="right"/>
    </xf>
    <xf numFmtId="3" fontId="45" fillId="26" borderId="10" xfId="78" applyNumberFormat="1" applyFont="1" applyFill="1" applyBorder="1" applyAlignment="1">
      <alignment horizontal="right"/>
    </xf>
    <xf numFmtId="3" fontId="45" fillId="24" borderId="10" xfId="78" applyNumberFormat="1" applyFont="1" applyFill="1" applyBorder="1" applyAlignment="1">
      <alignment horizontal="right"/>
    </xf>
    <xf numFmtId="3" fontId="17" fillId="0" borderId="10" xfId="78" applyNumberFormat="1" applyFont="1" applyFill="1" applyBorder="1" applyAlignment="1">
      <alignment horizontal="right" vertical="center"/>
    </xf>
    <xf numFmtId="3" fontId="45" fillId="24" borderId="22" xfId="78" applyNumberFormat="1" applyFont="1" applyFill="1" applyBorder="1" applyAlignment="1">
      <alignment horizontal="right"/>
    </xf>
    <xf numFmtId="3" fontId="45" fillId="27" borderId="17" xfId="78" applyNumberFormat="1" applyFont="1" applyFill="1" applyBorder="1" applyAlignment="1">
      <alignment horizontal="right"/>
    </xf>
    <xf numFmtId="3" fontId="45" fillId="28" borderId="10" xfId="78" applyNumberFormat="1" applyFont="1" applyFill="1" applyBorder="1" applyAlignment="1">
      <alignment horizontal="right" vertical="center"/>
    </xf>
    <xf numFmtId="3" fontId="45" fillId="0" borderId="10" xfId="78" applyNumberFormat="1" applyFont="1" applyBorder="1" applyAlignment="1">
      <alignment horizontal="right"/>
    </xf>
    <xf numFmtId="0" fontId="13" fillId="0" borderId="17" xfId="78" applyFont="1" applyBorder="1" applyAlignment="1">
      <alignment horizontal="center" vertical="center" wrapText="1"/>
    </xf>
    <xf numFmtId="0" fontId="45" fillId="0" borderId="0" xfId="45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0" fillId="0" borderId="0" xfId="0" applyAlignment="1"/>
    <xf numFmtId="0" fontId="45" fillId="0" borderId="0" xfId="45" applyFont="1" applyAlignment="1">
      <alignment horizontal="center"/>
    </xf>
    <xf numFmtId="0" fontId="18" fillId="0" borderId="0" xfId="0" applyFont="1" applyAlignment="1"/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0" borderId="0" xfId="45" applyFont="1" applyAlignment="1">
      <alignment horizontal="center" wrapText="1"/>
    </xf>
    <xf numFmtId="0" fontId="16" fillId="0" borderId="0" xfId="0" applyFont="1" applyAlignment="1">
      <alignment horizontal="center"/>
    </xf>
    <xf numFmtId="0" fontId="86" fillId="0" borderId="0" xfId="58" applyFont="1" applyBorder="1" applyAlignment="1">
      <alignment horizontal="center" wrapText="1"/>
    </xf>
    <xf numFmtId="3" fontId="87" fillId="0" borderId="0" xfId="49" applyNumberFormat="1" applyFont="1" applyBorder="1"/>
    <xf numFmtId="0" fontId="18" fillId="0" borderId="0" xfId="45" applyFont="1" applyAlignment="1">
      <alignment horizontal="right"/>
    </xf>
    <xf numFmtId="0" fontId="86" fillId="0" borderId="0" xfId="67" applyFont="1" applyBorder="1" applyAlignment="1">
      <alignment horizontal="center" vertical="center"/>
    </xf>
    <xf numFmtId="0" fontId="0" fillId="0" borderId="0" xfId="0" applyAlignment="1"/>
    <xf numFmtId="0" fontId="4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45" applyFont="1" applyAlignment="1">
      <alignment horizontal="center" wrapText="1"/>
    </xf>
    <xf numFmtId="0" fontId="62" fillId="0" borderId="0" xfId="67" applyFont="1" applyAlignment="1">
      <alignment horizontal="center"/>
    </xf>
    <xf numFmtId="0" fontId="96" fillId="0" borderId="10" xfId="67" applyFont="1" applyFill="1" applyBorder="1" applyAlignment="1">
      <alignment horizontal="center" vertical="center" wrapText="1"/>
    </xf>
    <xf numFmtId="0" fontId="96" fillId="0" borderId="10" xfId="67" applyFont="1" applyBorder="1" applyAlignment="1">
      <alignment horizontal="center" vertical="center" wrapText="1"/>
    </xf>
    <xf numFmtId="3" fontId="17" fillId="26" borderId="26" xfId="0" applyNumberFormat="1" applyFont="1" applyFill="1" applyBorder="1" applyAlignment="1">
      <alignment horizontal="right"/>
    </xf>
    <xf numFmtId="3" fontId="17" fillId="26" borderId="27" xfId="0" applyNumberFormat="1" applyFont="1" applyFill="1" applyBorder="1" applyAlignment="1">
      <alignment horizontal="right"/>
    </xf>
    <xf numFmtId="3" fontId="17" fillId="24" borderId="26" xfId="0" applyNumberFormat="1" applyFont="1" applyFill="1" applyBorder="1" applyAlignment="1">
      <alignment horizontal="right"/>
    </xf>
    <xf numFmtId="3" fontId="17" fillId="24" borderId="27" xfId="0" applyNumberFormat="1" applyFont="1" applyFill="1" applyBorder="1" applyAlignment="1">
      <alignment horizontal="right"/>
    </xf>
    <xf numFmtId="3" fontId="17" fillId="0" borderId="26" xfId="0" applyNumberFormat="1" applyFont="1" applyFill="1" applyBorder="1" applyAlignment="1">
      <alignment horizontal="right"/>
    </xf>
    <xf numFmtId="3" fontId="17" fillId="0" borderId="27" xfId="0" applyNumberFormat="1" applyFont="1" applyFill="1" applyBorder="1" applyAlignment="1">
      <alignment horizontal="right"/>
    </xf>
    <xf numFmtId="0" fontId="45" fillId="0" borderId="0" xfId="45" applyFont="1" applyAlignment="1">
      <alignment horizontal="center"/>
    </xf>
    <xf numFmtId="3" fontId="52" fillId="29" borderId="15" xfId="0" applyNumberFormat="1" applyFont="1" applyFill="1" applyBorder="1" applyAlignment="1">
      <alignment horizontal="right" vertical="center"/>
    </xf>
    <xf numFmtId="3" fontId="62" fillId="0" borderId="27" xfId="0" applyNumberFormat="1" applyFont="1" applyBorder="1" applyAlignment="1">
      <alignment horizontal="right" vertical="center"/>
    </xf>
    <xf numFmtId="0" fontId="13" fillId="0" borderId="46" xfId="0" applyFont="1" applyFill="1" applyBorder="1" applyAlignment="1">
      <alignment horizontal="left" vertical="center" wrapText="1"/>
    </xf>
    <xf numFmtId="0" fontId="45" fillId="0" borderId="0" xfId="68" applyFont="1" applyBorder="1" applyAlignment="1">
      <alignment horizontal="center" wrapText="1"/>
    </xf>
    <xf numFmtId="0" fontId="9" fillId="0" borderId="10" xfId="45" applyFont="1" applyFill="1" applyBorder="1" applyAlignment="1">
      <alignment horizontal="center" vertical="center" wrapText="1"/>
    </xf>
    <xf numFmtId="3" fontId="87" fillId="0" borderId="0" xfId="0" applyNumberFormat="1" applyFont="1" applyFill="1" applyBorder="1" applyAlignment="1">
      <alignment horizontal="right" vertical="center"/>
    </xf>
    <xf numFmtId="3" fontId="52" fillId="0" borderId="0" xfId="0" applyNumberFormat="1" applyFont="1" applyFill="1" applyBorder="1" applyAlignment="1">
      <alignment horizontal="right" vertical="center"/>
    </xf>
    <xf numFmtId="0" fontId="45" fillId="28" borderId="0" xfId="0" applyFont="1" applyFill="1" applyBorder="1" applyAlignment="1">
      <alignment horizontal="left"/>
    </xf>
    <xf numFmtId="3" fontId="18" fillId="0" borderId="0" xfId="45" applyNumberFormat="1" applyFont="1" applyAlignment="1">
      <alignment horizontal="center"/>
    </xf>
    <xf numFmtId="3" fontId="18" fillId="0" borderId="0" xfId="0" applyNumberFormat="1" applyFont="1"/>
    <xf numFmtId="0" fontId="45" fillId="0" borderId="0" xfId="45" applyFont="1" applyFill="1" applyBorder="1" applyAlignment="1">
      <alignment horizontal="center" vertical="center" wrapText="1"/>
    </xf>
    <xf numFmtId="3" fontId="98" fillId="0" borderId="0" xfId="45" applyNumberFormat="1" applyFont="1" applyFill="1" applyBorder="1" applyAlignment="1">
      <alignment horizontal="right" vertical="center" wrapText="1"/>
    </xf>
    <xf numFmtId="0" fontId="52" fillId="0" borderId="16" xfId="67" applyFont="1" applyFill="1" applyBorder="1" applyAlignment="1">
      <alignment horizontal="center" vertical="center" wrapText="1"/>
    </xf>
    <xf numFmtId="1" fontId="87" fillId="0" borderId="0" xfId="0" applyNumberFormat="1" applyFont="1" applyFill="1" applyBorder="1" applyAlignment="1">
      <alignment horizontal="right" vertical="center"/>
    </xf>
    <xf numFmtId="0" fontId="54" fillId="0" borderId="32" xfId="0" applyFont="1" applyFill="1" applyBorder="1" applyAlignment="1">
      <alignment horizontal="left" vertical="center" wrapText="1"/>
    </xf>
    <xf numFmtId="0" fontId="59" fillId="0" borderId="0" xfId="45" applyFont="1"/>
    <xf numFmtId="0" fontId="51" fillId="0" borderId="0" xfId="0" applyFont="1" applyAlignment="1">
      <alignment horizontal="center" vertical="center"/>
    </xf>
    <xf numFmtId="3" fontId="45" fillId="0" borderId="0" xfId="45" applyNumberFormat="1" applyFont="1"/>
    <xf numFmtId="0" fontId="87" fillId="0" borderId="0" xfId="45" applyFont="1"/>
    <xf numFmtId="3" fontId="62" fillId="0" borderId="33" xfId="0" applyNumberFormat="1" applyFont="1" applyFill="1" applyBorder="1" applyAlignment="1">
      <alignment horizontal="right" vertical="center"/>
    </xf>
    <xf numFmtId="3" fontId="62" fillId="0" borderId="23" xfId="46" applyNumberFormat="1" applyFont="1" applyFill="1" applyBorder="1" applyAlignment="1">
      <alignment horizontal="right" vertical="center" wrapText="1"/>
    </xf>
    <xf numFmtId="3" fontId="86" fillId="0" borderId="10" xfId="0" applyNumberFormat="1" applyFont="1" applyBorder="1" applyAlignment="1">
      <alignment horizontal="right"/>
    </xf>
    <xf numFmtId="3" fontId="87" fillId="0" borderId="23" xfId="0" applyNumberFormat="1" applyFont="1" applyBorder="1" applyAlignment="1">
      <alignment horizontal="right"/>
    </xf>
    <xf numFmtId="0" fontId="98" fillId="0" borderId="0" xfId="0" applyFont="1" applyAlignment="1">
      <alignment horizontal="center"/>
    </xf>
    <xf numFmtId="0" fontId="0" fillId="0" borderId="0" xfId="0" applyAlignment="1"/>
    <xf numFmtId="3" fontId="109" fillId="0" borderId="0" xfId="54" applyNumberFormat="1"/>
    <xf numFmtId="0" fontId="16" fillId="0" borderId="0" xfId="0" applyFont="1"/>
    <xf numFmtId="0" fontId="10" fillId="0" borderId="0" xfId="76" applyFont="1" applyBorder="1" applyAlignment="1">
      <alignment horizontal="center" vertical="justify"/>
    </xf>
    <xf numFmtId="0" fontId="128" fillId="0" borderId="0" xfId="76" applyFont="1"/>
    <xf numFmtId="3" fontId="46" fillId="0" borderId="27" xfId="0" applyNumberFormat="1" applyFont="1" applyFill="1" applyBorder="1" applyAlignment="1">
      <alignment horizontal="right"/>
    </xf>
    <xf numFmtId="0" fontId="18" fillId="0" borderId="0" xfId="0" applyFont="1" applyFill="1"/>
    <xf numFmtId="0" fontId="116" fillId="0" borderId="0" xfId="0" applyFont="1" applyAlignment="1">
      <alignment horizontal="center"/>
    </xf>
    <xf numFmtId="0" fontId="129" fillId="0" borderId="0" xfId="0" applyFont="1" applyAlignment="1"/>
    <xf numFmtId="0" fontId="128" fillId="0" borderId="0" xfId="0" applyFont="1"/>
    <xf numFmtId="3" fontId="15" fillId="0" borderId="0" xfId="0" applyNumberFormat="1" applyFont="1"/>
    <xf numFmtId="0" fontId="46" fillId="0" borderId="32" xfId="0" applyFont="1" applyFill="1" applyBorder="1" applyAlignment="1">
      <alignment horizontal="left" vertical="center" wrapText="1"/>
    </xf>
    <xf numFmtId="0" fontId="75" fillId="0" borderId="0" xfId="58" applyFont="1" applyBorder="1" applyAlignment="1">
      <alignment vertical="center"/>
    </xf>
    <xf numFmtId="0" fontId="62" fillId="0" borderId="0" xfId="58" applyFont="1" applyBorder="1" applyAlignment="1">
      <alignment vertical="center"/>
    </xf>
    <xf numFmtId="0" fontId="51" fillId="0" borderId="0" xfId="58" applyFont="1" applyBorder="1" applyAlignment="1">
      <alignment vertical="center"/>
    </xf>
    <xf numFmtId="0" fontId="8" fillId="0" borderId="0" xfId="58" applyBorder="1" applyAlignment="1">
      <alignment vertical="center"/>
    </xf>
    <xf numFmtId="0" fontId="8" fillId="0" borderId="0" xfId="58" applyAlignment="1">
      <alignment vertical="center"/>
    </xf>
    <xf numFmtId="0" fontId="86" fillId="0" borderId="0" xfId="58" applyFont="1" applyBorder="1" applyAlignment="1">
      <alignment vertical="center" wrapText="1"/>
    </xf>
    <xf numFmtId="0" fontId="116" fillId="0" borderId="0" xfId="45" applyFont="1" applyAlignment="1">
      <alignment horizontal="center"/>
    </xf>
    <xf numFmtId="0" fontId="114" fillId="0" borderId="0" xfId="45" applyFont="1"/>
    <xf numFmtId="3" fontId="114" fillId="0" borderId="0" xfId="45" applyNumberFormat="1" applyFont="1"/>
    <xf numFmtId="0" fontId="131" fillId="0" borderId="0" xfId="0" applyFont="1" applyAlignment="1"/>
    <xf numFmtId="0" fontId="18" fillId="0" borderId="0" xfId="45" applyFont="1" applyAlignment="1">
      <alignment horizontal="right" wrapText="1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62" fillId="0" borderId="0" xfId="46" applyFont="1" applyFill="1" applyAlignment="1">
      <alignment vertical="center"/>
    </xf>
    <xf numFmtId="0" fontId="62" fillId="0" borderId="0" xfId="46" applyFont="1" applyAlignment="1">
      <alignment horizontal="center" vertical="center"/>
    </xf>
    <xf numFmtId="3" fontId="52" fillId="0" borderId="0" xfId="46" applyNumberFormat="1" applyFont="1" applyFill="1" applyAlignment="1">
      <alignment horizontal="center" vertical="center"/>
    </xf>
    <xf numFmtId="3" fontId="62" fillId="0" borderId="0" xfId="46" applyNumberFormat="1" applyFont="1" applyAlignment="1">
      <alignment horizontal="right" vertical="center"/>
    </xf>
    <xf numFmtId="0" fontId="52" fillId="29" borderId="34" xfId="46" applyFont="1" applyFill="1" applyBorder="1" applyAlignment="1">
      <alignment vertical="center"/>
    </xf>
    <xf numFmtId="0" fontId="52" fillId="29" borderId="35" xfId="46" applyFont="1" applyFill="1" applyBorder="1" applyAlignment="1">
      <alignment horizontal="center" vertical="center"/>
    </xf>
    <xf numFmtId="3" fontId="52" fillId="29" borderId="35" xfId="46" applyNumberFormat="1" applyFont="1" applyFill="1" applyBorder="1" applyAlignment="1">
      <alignment horizontal="center" vertical="center"/>
    </xf>
    <xf numFmtId="0" fontId="52" fillId="29" borderId="36" xfId="46" applyFont="1" applyFill="1" applyBorder="1" applyAlignment="1">
      <alignment horizontal="justify" vertical="center"/>
    </xf>
    <xf numFmtId="0" fontId="62" fillId="29" borderId="36" xfId="46" applyFont="1" applyFill="1" applyBorder="1" applyAlignment="1">
      <alignment horizontal="justify" vertical="center"/>
    </xf>
    <xf numFmtId="0" fontId="86" fillId="0" borderId="16" xfId="46" applyFont="1" applyFill="1" applyBorder="1" applyAlignment="1">
      <alignment vertical="center" wrapText="1"/>
    </xf>
    <xf numFmtId="0" fontId="62" fillId="0" borderId="25" xfId="46" applyFont="1" applyFill="1" applyBorder="1" applyAlignment="1">
      <alignment vertical="center"/>
    </xf>
    <xf numFmtId="0" fontId="62" fillId="0" borderId="23" xfId="46" applyFont="1" applyFill="1" applyBorder="1" applyAlignment="1">
      <alignment horizontal="center" vertical="center" wrapText="1"/>
    </xf>
    <xf numFmtId="3" fontId="62" fillId="0" borderId="23" xfId="46" applyNumberFormat="1" applyFont="1" applyBorder="1" applyAlignment="1">
      <alignment horizontal="center" vertical="center" wrapText="1"/>
    </xf>
    <xf numFmtId="0" fontId="62" fillId="0" borderId="29" xfId="46" applyFont="1" applyFill="1" applyBorder="1" applyAlignment="1">
      <alignment horizontal="justify" vertical="center" wrapText="1"/>
    </xf>
    <xf numFmtId="0" fontId="87" fillId="0" borderId="26" xfId="46" applyFont="1" applyFill="1" applyBorder="1" applyAlignment="1">
      <alignment vertical="center" wrapText="1"/>
    </xf>
    <xf numFmtId="0" fontId="62" fillId="0" borderId="10" xfId="46" applyFont="1" applyFill="1" applyBorder="1" applyAlignment="1">
      <alignment horizontal="center" vertical="center" wrapText="1"/>
    </xf>
    <xf numFmtId="3" fontId="62" fillId="0" borderId="10" xfId="46" applyNumberFormat="1" applyFont="1" applyBorder="1" applyAlignment="1">
      <alignment horizontal="center" vertical="center" wrapText="1"/>
    </xf>
    <xf numFmtId="0" fontId="62" fillId="0" borderId="27" xfId="46" applyFont="1" applyFill="1" applyBorder="1" applyAlignment="1">
      <alignment horizontal="justify" vertical="center" wrapText="1"/>
    </xf>
    <xf numFmtId="0" fontId="62" fillId="0" borderId="30" xfId="46" applyFont="1" applyFill="1" applyBorder="1" applyAlignment="1">
      <alignment vertical="center"/>
    </xf>
    <xf numFmtId="0" fontId="62" fillId="0" borderId="22" xfId="46" applyFont="1" applyFill="1" applyBorder="1" applyAlignment="1">
      <alignment horizontal="center" vertical="center"/>
    </xf>
    <xf numFmtId="3" fontId="62" fillId="0" borderId="22" xfId="46" applyNumberFormat="1" applyFont="1" applyFill="1" applyBorder="1" applyAlignment="1">
      <alignment horizontal="center" vertical="center"/>
    </xf>
    <xf numFmtId="0" fontId="62" fillId="0" borderId="28" xfId="46" applyFont="1" applyFill="1" applyBorder="1" applyAlignment="1">
      <alignment horizontal="justify" vertical="center" wrapText="1"/>
    </xf>
    <xf numFmtId="0" fontId="52" fillId="0" borderId="34" xfId="46" applyFont="1" applyFill="1" applyBorder="1" applyAlignment="1">
      <alignment vertical="center"/>
    </xf>
    <xf numFmtId="0" fontId="62" fillId="0" borderId="35" xfId="46" applyFont="1" applyFill="1" applyBorder="1" applyAlignment="1">
      <alignment horizontal="center" vertical="center"/>
    </xf>
    <xf numFmtId="3" fontId="62" fillId="0" borderId="35" xfId="46" applyNumberFormat="1" applyFont="1" applyFill="1" applyBorder="1" applyAlignment="1">
      <alignment horizontal="center" vertical="center"/>
    </xf>
    <xf numFmtId="0" fontId="52" fillId="0" borderId="36" xfId="46" applyFont="1" applyFill="1" applyBorder="1" applyAlignment="1">
      <alignment horizontal="justify" vertical="center"/>
    </xf>
    <xf numFmtId="0" fontId="62" fillId="0" borderId="0" xfId="46" applyFont="1" applyFill="1" applyBorder="1" applyAlignment="1">
      <alignment vertical="center"/>
    </xf>
    <xf numFmtId="0" fontId="62" fillId="0" borderId="0" xfId="46" applyFont="1" applyBorder="1" applyAlignment="1">
      <alignment horizontal="center" vertical="center"/>
    </xf>
    <xf numFmtId="3" fontId="62" fillId="0" borderId="0" xfId="46" applyNumberFormat="1" applyFont="1" applyBorder="1" applyAlignment="1">
      <alignment horizontal="right" vertical="center"/>
    </xf>
    <xf numFmtId="0" fontId="62" fillId="0" borderId="0" xfId="46" applyFont="1" applyBorder="1" applyAlignment="1">
      <alignment horizontal="justify" vertical="center"/>
    </xf>
    <xf numFmtId="0" fontId="52" fillId="0" borderId="0" xfId="46" applyFont="1" applyFill="1" applyAlignment="1">
      <alignment vertical="center"/>
    </xf>
    <xf numFmtId="0" fontId="62" fillId="0" borderId="0" xfId="46" applyFont="1" applyAlignment="1">
      <alignment horizontal="justify" vertical="center"/>
    </xf>
    <xf numFmtId="3" fontId="72" fillId="0" borderId="0" xfId="57" applyNumberFormat="1" applyFont="1" applyBorder="1" applyAlignment="1">
      <alignment vertical="center"/>
    </xf>
    <xf numFmtId="0" fontId="76" fillId="0" borderId="26" xfId="85" applyFont="1" applyFill="1" applyBorder="1" applyAlignment="1">
      <alignment horizontal="left" vertical="center"/>
    </xf>
    <xf numFmtId="0" fontId="76" fillId="0" borderId="10" xfId="85" applyFont="1" applyFill="1" applyBorder="1" applyAlignment="1">
      <alignment horizontal="left" vertical="center" wrapText="1"/>
    </xf>
    <xf numFmtId="3" fontId="46" fillId="0" borderId="26" xfId="45" applyNumberFormat="1" applyFont="1" applyBorder="1"/>
    <xf numFmtId="3" fontId="46" fillId="0" borderId="27" xfId="45" applyNumberFormat="1" applyFont="1" applyBorder="1"/>
    <xf numFmtId="3" fontId="17" fillId="26" borderId="26" xfId="45" applyNumberFormat="1" applyFont="1" applyFill="1" applyBorder="1"/>
    <xf numFmtId="3" fontId="17" fillId="26" borderId="27" xfId="45" applyNumberFormat="1" applyFont="1" applyFill="1" applyBorder="1"/>
    <xf numFmtId="3" fontId="17" fillId="24" borderId="26" xfId="0" applyNumberFormat="1" applyFont="1" applyFill="1" applyBorder="1"/>
    <xf numFmtId="3" fontId="17" fillId="24" borderId="27" xfId="0" applyNumberFormat="1" applyFont="1" applyFill="1" applyBorder="1"/>
    <xf numFmtId="3" fontId="17" fillId="28" borderId="26" xfId="0" applyNumberFormat="1" applyFont="1" applyFill="1" applyBorder="1"/>
    <xf numFmtId="3" fontId="17" fillId="28" borderId="27" xfId="0" applyNumberFormat="1" applyFont="1" applyFill="1" applyBorder="1"/>
    <xf numFmtId="3" fontId="17" fillId="0" borderId="27" xfId="45" applyNumberFormat="1" applyFont="1" applyBorder="1"/>
    <xf numFmtId="168" fontId="46" fillId="0" borderId="26" xfId="0" applyNumberFormat="1" applyFont="1" applyFill="1" applyBorder="1" applyAlignment="1">
      <alignment vertical="center"/>
    </xf>
    <xf numFmtId="168" fontId="17" fillId="0" borderId="26" xfId="0" applyNumberFormat="1" applyFont="1" applyFill="1" applyBorder="1" applyAlignment="1">
      <alignment vertical="center"/>
    </xf>
    <xf numFmtId="0" fontId="17" fillId="26" borderId="26" xfId="45" applyFont="1" applyFill="1" applyBorder="1" applyAlignment="1">
      <alignment horizontal="left" vertical="center" wrapText="1"/>
    </xf>
    <xf numFmtId="168" fontId="17" fillId="26" borderId="26" xfId="0" applyNumberFormat="1" applyFont="1" applyFill="1" applyBorder="1" applyAlignment="1">
      <alignment vertical="center"/>
    </xf>
    <xf numFmtId="0" fontId="17" fillId="0" borderId="26" xfId="0" applyFont="1" applyFill="1" applyBorder="1" applyAlignment="1">
      <alignment horizontal="left" vertical="center" wrapText="1"/>
    </xf>
    <xf numFmtId="0" fontId="17" fillId="0" borderId="26" xfId="45" applyFont="1" applyFill="1" applyBorder="1" applyAlignment="1">
      <alignment horizontal="left" vertical="center"/>
    </xf>
    <xf numFmtId="0" fontId="94" fillId="0" borderId="26" xfId="0" applyFont="1" applyFill="1" applyBorder="1" applyAlignment="1">
      <alignment horizontal="left" vertical="center"/>
    </xf>
    <xf numFmtId="0" fontId="17" fillId="0" borderId="26" xfId="0" applyFont="1" applyFill="1" applyBorder="1" applyAlignment="1">
      <alignment horizontal="left" vertical="center"/>
    </xf>
    <xf numFmtId="0" fontId="46" fillId="0" borderId="26" xfId="0" applyFont="1" applyFill="1" applyBorder="1" applyAlignment="1">
      <alignment horizontal="left" vertical="center"/>
    </xf>
    <xf numFmtId="0" fontId="17" fillId="26" borderId="26" xfId="45" applyFont="1" applyFill="1" applyBorder="1" applyAlignment="1">
      <alignment horizontal="left" vertical="center"/>
    </xf>
    <xf numFmtId="0" fontId="17" fillId="24" borderId="26" xfId="0" applyFont="1" applyFill="1" applyBorder="1" applyAlignment="1">
      <alignment horizontal="left" vertical="center"/>
    </xf>
    <xf numFmtId="0" fontId="17" fillId="28" borderId="26" xfId="0" applyFont="1" applyFill="1" applyBorder="1" applyAlignment="1">
      <alignment horizontal="left" vertical="center"/>
    </xf>
    <xf numFmtId="0" fontId="46" fillId="0" borderId="26" xfId="0" applyFont="1" applyFill="1" applyBorder="1" applyAlignment="1">
      <alignment horizontal="left" vertical="center" wrapText="1"/>
    </xf>
    <xf numFmtId="0" fontId="46" fillId="0" borderId="0" xfId="0" applyFont="1" applyAlignment="1">
      <alignment horizontal="right"/>
    </xf>
    <xf numFmtId="0" fontId="9" fillId="0" borderId="43" xfId="49" applyFont="1" applyFill="1" applyBorder="1" applyAlignment="1">
      <alignment horizontal="center" vertical="center" wrapText="1"/>
    </xf>
    <xf numFmtId="0" fontId="17" fillId="0" borderId="40" xfId="49" applyFont="1" applyFill="1" applyBorder="1" applyAlignment="1">
      <alignment horizontal="center" vertical="center"/>
    </xf>
    <xf numFmtId="0" fontId="46" fillId="0" borderId="26" xfId="49" applyFont="1" applyFill="1" applyBorder="1" applyAlignment="1">
      <alignment horizontal="left" vertical="center"/>
    </xf>
    <xf numFmtId="0" fontId="17" fillId="29" borderId="26" xfId="49" applyFont="1" applyFill="1" applyBorder="1" applyAlignment="1">
      <alignment horizontal="left" vertical="center"/>
    </xf>
    <xf numFmtId="0" fontId="17" fillId="0" borderId="26" xfId="49" applyFont="1" applyFill="1" applyBorder="1" applyAlignment="1">
      <alignment horizontal="left" vertical="center"/>
    </xf>
    <xf numFmtId="0" fontId="9" fillId="0" borderId="0" xfId="76" applyFont="1" applyAlignment="1">
      <alignment horizontal="center" vertical="center"/>
    </xf>
    <xf numFmtId="0" fontId="58" fillId="0" borderId="0" xfId="76" applyFont="1" applyAlignment="1">
      <alignment horizontal="center" vertical="center"/>
    </xf>
    <xf numFmtId="0" fontId="51" fillId="0" borderId="0" xfId="76" applyFont="1"/>
    <xf numFmtId="0" fontId="17" fillId="0" borderId="11" xfId="76" applyFont="1" applyFill="1" applyBorder="1" applyAlignment="1">
      <alignment horizontal="center" vertical="center" wrapText="1"/>
    </xf>
    <xf numFmtId="0" fontId="53" fillId="0" borderId="17" xfId="45" applyFont="1" applyFill="1" applyBorder="1" applyAlignment="1">
      <alignment horizontal="center" vertical="center"/>
    </xf>
    <xf numFmtId="0" fontId="94" fillId="0" borderId="17" xfId="0" applyFont="1" applyFill="1" applyBorder="1" applyAlignment="1">
      <alignment horizontal="left" vertical="center" wrapText="1"/>
    </xf>
    <xf numFmtId="0" fontId="46" fillId="0" borderId="10" xfId="45" applyFont="1" applyFill="1" applyBorder="1" applyAlignment="1">
      <alignment horizontal="left" vertical="center" wrapText="1"/>
    </xf>
    <xf numFmtId="3" fontId="130" fillId="0" borderId="10" xfId="45" applyNumberFormat="1" applyFont="1" applyFill="1" applyBorder="1"/>
    <xf numFmtId="0" fontId="46" fillId="0" borderId="22" xfId="0" applyFont="1" applyFill="1" applyBorder="1" applyAlignment="1">
      <alignment horizontal="left" vertical="center" wrapText="1"/>
    </xf>
    <xf numFmtId="0" fontId="17" fillId="24" borderId="17" xfId="0" applyFont="1" applyFill="1" applyBorder="1" applyAlignment="1">
      <alignment horizontal="left" vertical="center" wrapText="1"/>
    </xf>
    <xf numFmtId="3" fontId="103" fillId="24" borderId="17" xfId="45" applyNumberFormat="1" applyFont="1" applyFill="1" applyBorder="1"/>
    <xf numFmtId="3" fontId="130" fillId="0" borderId="17" xfId="45" applyNumberFormat="1" applyFont="1" applyFill="1" applyBorder="1"/>
    <xf numFmtId="0" fontId="46" fillId="0" borderId="17" xfId="0" applyFont="1" applyFill="1" applyBorder="1" applyAlignment="1">
      <alignment horizontal="left" vertical="center" wrapText="1"/>
    </xf>
    <xf numFmtId="0" fontId="46" fillId="0" borderId="40" xfId="0" applyFont="1" applyFill="1" applyBorder="1" applyAlignment="1">
      <alignment horizontal="left" vertical="center" wrapText="1"/>
    </xf>
    <xf numFmtId="3" fontId="62" fillId="0" borderId="10" xfId="0" applyNumberFormat="1" applyFont="1" applyFill="1" applyBorder="1" applyAlignment="1">
      <alignment horizontal="right" vertical="center"/>
    </xf>
    <xf numFmtId="0" fontId="60" fillId="0" borderId="17" xfId="0" applyFont="1" applyFill="1" applyBorder="1" applyAlignment="1">
      <alignment horizontal="center" vertical="center" wrapText="1"/>
    </xf>
    <xf numFmtId="168" fontId="44" fillId="29" borderId="17" xfId="0" applyNumberFormat="1" applyFont="1" applyFill="1" applyBorder="1" applyAlignment="1">
      <alignment vertical="center"/>
    </xf>
    <xf numFmtId="168" fontId="14" fillId="0" borderId="13" xfId="0" applyNumberFormat="1" applyFont="1" applyFill="1" applyBorder="1" applyAlignment="1">
      <alignment vertical="center"/>
    </xf>
    <xf numFmtId="168" fontId="14" fillId="0" borderId="14" xfId="0" applyNumberFormat="1" applyFont="1" applyFill="1" applyBorder="1" applyAlignment="1">
      <alignment vertical="center"/>
    </xf>
    <xf numFmtId="168" fontId="44" fillId="24" borderId="17" xfId="0" applyNumberFormat="1" applyFont="1" applyFill="1" applyBorder="1" applyAlignment="1">
      <alignment vertical="center"/>
    </xf>
    <xf numFmtId="0" fontId="46" fillId="0" borderId="0" xfId="45" applyFont="1" applyAlignment="1">
      <alignment horizontal="center" wrapText="1"/>
    </xf>
    <xf numFmtId="0" fontId="62" fillId="0" borderId="0" xfId="0" applyFont="1" applyAlignment="1">
      <alignment horizontal="right"/>
    </xf>
    <xf numFmtId="1" fontId="14" fillId="0" borderId="26" xfId="67" applyNumberFormat="1" applyFont="1" applyFill="1" applyBorder="1" applyAlignment="1">
      <alignment horizontal="center" vertical="center"/>
    </xf>
    <xf numFmtId="3" fontId="109" fillId="0" borderId="0" xfId="45" applyNumberFormat="1"/>
    <xf numFmtId="0" fontId="11" fillId="0" borderId="26" xfId="0" applyFont="1" applyFill="1" applyBorder="1" applyAlignment="1">
      <alignment horizontal="left" vertical="center"/>
    </xf>
    <xf numFmtId="0" fontId="18" fillId="0" borderId="0" xfId="45" applyFont="1" applyAlignment="1">
      <alignment horizontal="left"/>
    </xf>
    <xf numFmtId="0" fontId="86" fillId="0" borderId="10" xfId="45" applyFont="1" applyBorder="1" applyAlignment="1">
      <alignment horizontal="center" vertical="center" wrapText="1"/>
    </xf>
    <xf numFmtId="0" fontId="100" fillId="0" borderId="26" xfId="45" applyFont="1" applyBorder="1" applyAlignment="1">
      <alignment horizontal="center" vertical="center"/>
    </xf>
    <xf numFmtId="0" fontId="99" fillId="0" borderId="26" xfId="45" applyFont="1" applyBorder="1" applyAlignment="1">
      <alignment vertical="center"/>
    </xf>
    <xf numFmtId="0" fontId="100" fillId="0" borderId="26" xfId="45" applyFont="1" applyBorder="1" applyAlignment="1">
      <alignment vertical="center"/>
    </xf>
    <xf numFmtId="166" fontId="100" fillId="24" borderId="34" xfId="63" applyNumberFormat="1" applyFont="1" applyFill="1" applyBorder="1" applyAlignment="1">
      <alignment vertical="center" wrapText="1"/>
    </xf>
    <xf numFmtId="3" fontId="108" fillId="24" borderId="35" xfId="45" applyNumberFormat="1" applyFont="1" applyFill="1" applyBorder="1" applyAlignment="1">
      <alignment vertical="center"/>
    </xf>
    <xf numFmtId="3" fontId="108" fillId="24" borderId="36" xfId="45" applyNumberFormat="1" applyFont="1" applyFill="1" applyBorder="1" applyAlignment="1">
      <alignment vertical="center"/>
    </xf>
    <xf numFmtId="3" fontId="96" fillId="0" borderId="27" xfId="45" applyNumberFormat="1" applyFont="1" applyFill="1" applyBorder="1" applyAlignment="1">
      <alignment vertical="center"/>
    </xf>
    <xf numFmtId="3" fontId="108" fillId="0" borderId="27" xfId="45" applyNumberFormat="1" applyFont="1" applyFill="1" applyBorder="1" applyAlignment="1">
      <alignment vertical="center"/>
    </xf>
    <xf numFmtId="0" fontId="100" fillId="24" borderId="34" xfId="45" applyFont="1" applyFill="1" applyBorder="1" applyAlignment="1">
      <alignment vertical="center"/>
    </xf>
    <xf numFmtId="0" fontId="77" fillId="27" borderId="34" xfId="0" applyFont="1" applyFill="1" applyBorder="1"/>
    <xf numFmtId="0" fontId="76" fillId="0" borderId="42" xfId="0" applyFont="1" applyBorder="1"/>
    <xf numFmtId="3" fontId="77" fillId="27" borderId="35" xfId="0" applyNumberFormat="1" applyFont="1" applyFill="1" applyBorder="1"/>
    <xf numFmtId="3" fontId="76" fillId="0" borderId="42" xfId="0" applyNumberFormat="1" applyFont="1" applyBorder="1"/>
    <xf numFmtId="0" fontId="108" fillId="0" borderId="0" xfId="49" applyFont="1" applyAlignment="1">
      <alignment horizontal="center" wrapText="1"/>
    </xf>
    <xf numFmtId="0" fontId="135" fillId="0" borderId="0" xfId="0" applyFont="1" applyAlignment="1">
      <alignment wrapText="1"/>
    </xf>
    <xf numFmtId="0" fontId="96" fillId="0" borderId="0" xfId="49" applyFont="1" applyAlignment="1">
      <alignment horizontal="right"/>
    </xf>
    <xf numFmtId="0" fontId="87" fillId="0" borderId="0" xfId="45" applyFont="1" applyAlignment="1">
      <alignment horizontal="center" wrapText="1"/>
    </xf>
    <xf numFmtId="0" fontId="87" fillId="0" borderId="0" xfId="45" applyFont="1" applyAlignment="1">
      <alignment horizontal="center"/>
    </xf>
    <xf numFmtId="0" fontId="62" fillId="0" borderId="0" xfId="64" applyFont="1" applyFill="1" applyAlignment="1">
      <alignment horizontal="center"/>
    </xf>
    <xf numFmtId="0" fontId="62" fillId="0" borderId="0" xfId="46" applyFont="1" applyFill="1" applyAlignment="1">
      <alignment horizontal="center" vertical="center"/>
    </xf>
    <xf numFmtId="0" fontId="62" fillId="0" borderId="0" xfId="46" applyFont="1" applyFill="1" applyAlignment="1"/>
    <xf numFmtId="0" fontId="62" fillId="0" borderId="0" xfId="46" applyFont="1" applyFill="1"/>
    <xf numFmtId="0" fontId="87" fillId="0" borderId="0" xfId="0" applyFont="1" applyAlignment="1">
      <alignment horizontal="right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7" xfId="46" applyFont="1" applyFill="1" applyBorder="1" applyAlignment="1">
      <alignment horizontal="center" vertical="center" wrapText="1"/>
    </xf>
    <xf numFmtId="0" fontId="9" fillId="0" borderId="17" xfId="46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6" fillId="24" borderId="17" xfId="0" applyFont="1" applyFill="1" applyBorder="1" applyAlignment="1">
      <alignment horizontal="left" vertical="center" wrapText="1"/>
    </xf>
    <xf numFmtId="0" fontId="9" fillId="24" borderId="17" xfId="0" applyFont="1" applyFill="1" applyBorder="1" applyAlignment="1">
      <alignment horizontal="left" vertical="center"/>
    </xf>
    <xf numFmtId="0" fontId="16" fillId="24" borderId="16" xfId="0" applyFont="1" applyFill="1" applyBorder="1" applyAlignment="1">
      <alignment horizontal="center"/>
    </xf>
    <xf numFmtId="168" fontId="44" fillId="29" borderId="16" xfId="0" applyNumberFormat="1" applyFont="1" applyFill="1" applyBorder="1" applyAlignment="1">
      <alignment horizontal="center" vertical="center"/>
    </xf>
    <xf numFmtId="168" fontId="14" fillId="0" borderId="56" xfId="0" applyNumberFormat="1" applyFont="1" applyFill="1" applyBorder="1" applyAlignment="1">
      <alignment horizontal="center" vertical="center"/>
    </xf>
    <xf numFmtId="168" fontId="14" fillId="0" borderId="57" xfId="0" applyNumberFormat="1" applyFont="1" applyFill="1" applyBorder="1" applyAlignment="1">
      <alignment horizontal="center" vertical="center"/>
    </xf>
    <xf numFmtId="168" fontId="44" fillId="24" borderId="16" xfId="0" applyNumberFormat="1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49" fontId="77" fillId="29" borderId="16" xfId="0" applyNumberFormat="1" applyFont="1" applyFill="1" applyBorder="1" applyAlignment="1">
      <alignment horizontal="center" vertical="center"/>
    </xf>
    <xf numFmtId="49" fontId="76" fillId="0" borderId="26" xfId="0" applyNumberFormat="1" applyFont="1" applyFill="1" applyBorder="1" applyAlignment="1">
      <alignment horizontal="center" vertical="center"/>
    </xf>
    <xf numFmtId="168" fontId="76" fillId="0" borderId="25" xfId="0" applyNumberFormat="1" applyFont="1" applyFill="1" applyBorder="1" applyAlignment="1">
      <alignment horizontal="center" vertical="center"/>
    </xf>
    <xf numFmtId="1" fontId="17" fillId="29" borderId="16" xfId="30" applyNumberFormat="1" applyFont="1" applyFill="1" applyBorder="1" applyAlignment="1">
      <alignment horizontal="center" vertical="center"/>
    </xf>
    <xf numFmtId="1" fontId="17" fillId="24" borderId="16" xfId="30" applyNumberFormat="1" applyFont="1" applyFill="1" applyBorder="1" applyAlignment="1">
      <alignment horizontal="center" vertical="center"/>
    </xf>
    <xf numFmtId="0" fontId="46" fillId="0" borderId="0" xfId="64" applyFont="1" applyAlignment="1">
      <alignment horizontal="right" vertical="center"/>
    </xf>
    <xf numFmtId="0" fontId="87" fillId="0" borderId="0" xfId="54" applyFont="1" applyAlignment="1">
      <alignment horizontal="center"/>
    </xf>
    <xf numFmtId="0" fontId="46" fillId="0" borderId="0" xfId="64" applyFont="1" applyBorder="1" applyAlignment="1">
      <alignment horizontal="right" vertical="center"/>
    </xf>
    <xf numFmtId="0" fontId="99" fillId="0" borderId="0" xfId="64" applyFont="1" applyBorder="1" applyAlignment="1">
      <alignment horizontal="right"/>
    </xf>
    <xf numFmtId="0" fontId="99" fillId="0" borderId="0" xfId="64" applyFont="1" applyAlignment="1">
      <alignment horizontal="right" vertical="center"/>
    </xf>
    <xf numFmtId="0" fontId="87" fillId="0" borderId="0" xfId="0" applyFont="1" applyAlignment="1">
      <alignment horizontal="right" vertical="center"/>
    </xf>
    <xf numFmtId="0" fontId="87" fillId="0" borderId="0" xfId="0" applyFont="1" applyAlignment="1">
      <alignment horizontal="center" vertical="center"/>
    </xf>
    <xf numFmtId="0" fontId="86" fillId="0" borderId="0" xfId="45" applyFont="1" applyAlignment="1">
      <alignment horizontal="center"/>
    </xf>
    <xf numFmtId="0" fontId="138" fillId="0" borderId="0" xfId="45" applyFont="1" applyAlignment="1">
      <alignment horizontal="center"/>
    </xf>
    <xf numFmtId="0" fontId="139" fillId="0" borderId="0" xfId="0" applyFont="1" applyAlignment="1"/>
    <xf numFmtId="0" fontId="53" fillId="0" borderId="16" xfId="45" applyFont="1" applyFill="1" applyBorder="1" applyAlignment="1">
      <alignment horizontal="center" vertical="center" wrapText="1"/>
    </xf>
    <xf numFmtId="0" fontId="103" fillId="0" borderId="0" xfId="46" applyFont="1" applyAlignment="1">
      <alignment horizontal="center"/>
    </xf>
    <xf numFmtId="0" fontId="103" fillId="0" borderId="0" xfId="46" applyFont="1" applyAlignment="1">
      <alignment vertical="center"/>
    </xf>
    <xf numFmtId="0" fontId="86" fillId="0" borderId="0" xfId="0" applyFont="1" applyAlignment="1">
      <alignment horizontal="center" vertical="center"/>
    </xf>
    <xf numFmtId="0" fontId="140" fillId="0" borderId="0" xfId="0" applyFont="1" applyAlignment="1">
      <alignment horizontal="center" vertical="center"/>
    </xf>
    <xf numFmtId="0" fontId="87" fillId="0" borderId="0" xfId="0" applyFont="1"/>
    <xf numFmtId="0" fontId="102" fillId="0" borderId="0" xfId="0" applyFont="1" applyAlignment="1">
      <alignment horizontal="right" vertical="center"/>
    </xf>
    <xf numFmtId="0" fontId="102" fillId="0" borderId="0" xfId="0" applyFont="1" applyAlignment="1">
      <alignment horizontal="right"/>
    </xf>
    <xf numFmtId="0" fontId="100" fillId="0" borderId="0" xfId="68" applyFont="1" applyBorder="1" applyAlignment="1">
      <alignment horizontal="center" wrapText="1"/>
    </xf>
    <xf numFmtId="0" fontId="100" fillId="0" borderId="0" xfId="68" applyFont="1" applyBorder="1" applyAlignment="1">
      <alignment wrapText="1"/>
    </xf>
    <xf numFmtId="0" fontId="141" fillId="0" borderId="0" xfId="67" applyFont="1" applyBorder="1" applyAlignment="1">
      <alignment horizontal="center" wrapText="1"/>
    </xf>
    <xf numFmtId="0" fontId="96" fillId="0" borderId="0" xfId="45" applyFont="1" applyAlignment="1">
      <alignment horizontal="center" wrapText="1"/>
    </xf>
    <xf numFmtId="0" fontId="97" fillId="0" borderId="0" xfId="0" applyFont="1" applyFill="1" applyBorder="1" applyAlignment="1">
      <alignment horizontal="right"/>
    </xf>
    <xf numFmtId="0" fontId="62" fillId="0" borderId="10" xfId="0" applyFont="1" applyFill="1" applyBorder="1" applyAlignment="1">
      <alignment horizontal="center" vertical="center"/>
    </xf>
    <xf numFmtId="49" fontId="62" fillId="0" borderId="10" xfId="0" applyNumberFormat="1" applyFont="1" applyFill="1" applyBorder="1" applyAlignment="1">
      <alignment horizontal="center" vertical="center"/>
    </xf>
    <xf numFmtId="0" fontId="62" fillId="0" borderId="10" xfId="0" applyFont="1" applyFill="1" applyBorder="1" applyAlignment="1">
      <alignment vertical="center" wrapText="1"/>
    </xf>
    <xf numFmtId="49" fontId="62" fillId="0" borderId="22" xfId="0" applyNumberFormat="1" applyFont="1" applyFill="1" applyBorder="1" applyAlignment="1">
      <alignment horizontal="center" vertical="center"/>
    </xf>
    <xf numFmtId="0" fontId="62" fillId="0" borderId="22" xfId="0" applyFont="1" applyFill="1" applyBorder="1" applyAlignment="1">
      <alignment horizontal="left" vertical="center" wrapText="1"/>
    </xf>
    <xf numFmtId="0" fontId="52" fillId="24" borderId="44" xfId="46" applyFont="1" applyFill="1" applyBorder="1" applyAlignment="1">
      <alignment vertical="center" wrapText="1"/>
    </xf>
    <xf numFmtId="0" fontId="52" fillId="24" borderId="45" xfId="46" applyFont="1" applyFill="1" applyBorder="1" applyAlignment="1">
      <alignment horizontal="center" vertical="center"/>
    </xf>
    <xf numFmtId="3" fontId="52" fillId="24" borderId="45" xfId="46" applyNumberFormat="1" applyFont="1" applyFill="1" applyBorder="1" applyAlignment="1">
      <alignment horizontal="center" vertical="center"/>
    </xf>
    <xf numFmtId="0" fontId="52" fillId="24" borderId="49" xfId="46" applyFont="1" applyFill="1" applyBorder="1" applyAlignment="1">
      <alignment horizontal="justify" vertical="center"/>
    </xf>
    <xf numFmtId="0" fontId="52" fillId="0" borderId="59" xfId="0" applyFont="1" applyFill="1" applyBorder="1" applyAlignment="1">
      <alignment vertical="center"/>
    </xf>
    <xf numFmtId="0" fontId="52" fillId="0" borderId="59" xfId="0" applyFont="1" applyFill="1" applyBorder="1" applyAlignment="1">
      <alignment horizontal="center" vertical="center"/>
    </xf>
    <xf numFmtId="3" fontId="52" fillId="0" borderId="59" xfId="0" applyNumberFormat="1" applyFont="1" applyFill="1" applyBorder="1" applyAlignment="1">
      <alignment horizontal="right" vertical="center"/>
    </xf>
    <xf numFmtId="0" fontId="52" fillId="0" borderId="59" xfId="0" applyFont="1" applyFill="1" applyBorder="1" applyAlignment="1">
      <alignment horizontal="justify" vertical="center"/>
    </xf>
    <xf numFmtId="0" fontId="86" fillId="0" borderId="0" xfId="67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135" fillId="0" borderId="0" xfId="0" applyFont="1" applyAlignment="1">
      <alignment wrapText="1"/>
    </xf>
    <xf numFmtId="0" fontId="45" fillId="0" borderId="0" xfId="45" applyFont="1" applyAlignment="1">
      <alignment horizontal="center" wrapText="1"/>
    </xf>
    <xf numFmtId="0" fontId="0" fillId="0" borderId="0" xfId="0" applyAlignment="1"/>
    <xf numFmtId="0" fontId="108" fillId="0" borderId="0" xfId="0" applyFont="1" applyAlignment="1">
      <alignment horizontal="center"/>
    </xf>
    <xf numFmtId="172" fontId="87" fillId="0" borderId="14" xfId="49" applyNumberFormat="1" applyFont="1" applyBorder="1"/>
    <xf numFmtId="0" fontId="99" fillId="0" borderId="26" xfId="45" applyFont="1" applyFill="1" applyBorder="1" applyAlignment="1">
      <alignment vertical="center"/>
    </xf>
    <xf numFmtId="0" fontId="45" fillId="24" borderId="26" xfId="45" applyFont="1" applyFill="1" applyBorder="1" applyAlignment="1">
      <alignment horizontal="left" vertical="center"/>
    </xf>
    <xf numFmtId="3" fontId="17" fillId="24" borderId="27" xfId="45" applyNumberFormat="1" applyFont="1" applyFill="1" applyBorder="1"/>
    <xf numFmtId="0" fontId="18" fillId="27" borderId="34" xfId="0" applyFont="1" applyFill="1" applyBorder="1"/>
    <xf numFmtId="3" fontId="17" fillId="27" borderId="36" xfId="0" applyNumberFormat="1" applyFont="1" applyFill="1" applyBorder="1"/>
    <xf numFmtId="3" fontId="17" fillId="24" borderId="26" xfId="45" applyNumberFormat="1" applyFont="1" applyFill="1" applyBorder="1"/>
    <xf numFmtId="3" fontId="17" fillId="27" borderId="34" xfId="0" applyNumberFormat="1" applyFont="1" applyFill="1" applyBorder="1"/>
    <xf numFmtId="0" fontId="46" fillId="0" borderId="10" xfId="0" applyFont="1" applyFill="1" applyBorder="1" applyAlignment="1">
      <alignment vertical="center"/>
    </xf>
    <xf numFmtId="0" fontId="46" fillId="27" borderId="34" xfId="0" applyFont="1" applyFill="1" applyBorder="1"/>
    <xf numFmtId="3" fontId="46" fillId="0" borderId="26" xfId="0" applyNumberFormat="1" applyFont="1" applyFill="1" applyBorder="1" applyAlignment="1">
      <alignment horizontal="right"/>
    </xf>
    <xf numFmtId="0" fontId="17" fillId="27" borderId="26" xfId="0" applyFont="1" applyFill="1" applyBorder="1"/>
    <xf numFmtId="0" fontId="17" fillId="27" borderId="34" xfId="0" applyFont="1" applyFill="1" applyBorder="1"/>
    <xf numFmtId="3" fontId="17" fillId="0" borderId="26" xfId="79" applyNumberFormat="1" applyFont="1" applyFill="1" applyBorder="1" applyAlignment="1">
      <alignment horizontal="right"/>
    </xf>
    <xf numFmtId="3" fontId="46" fillId="0" borderId="26" xfId="79" applyNumberFormat="1" applyFont="1" applyFill="1" applyBorder="1" applyAlignment="1">
      <alignment horizontal="right"/>
    </xf>
    <xf numFmtId="3" fontId="94" fillId="0" borderId="26" xfId="45" applyNumberFormat="1" applyFont="1" applyFill="1" applyBorder="1" applyAlignment="1">
      <alignment horizontal="right"/>
    </xf>
    <xf numFmtId="3" fontId="17" fillId="26" borderId="26" xfId="45" applyNumberFormat="1" applyFont="1" applyFill="1" applyBorder="1" applyAlignment="1">
      <alignment horizontal="right"/>
    </xf>
    <xf numFmtId="3" fontId="46" fillId="28" borderId="26" xfId="0" applyNumberFormat="1" applyFont="1" applyFill="1" applyBorder="1" applyAlignment="1">
      <alignment horizontal="right"/>
    </xf>
    <xf numFmtId="3" fontId="46" fillId="0" borderId="26" xfId="45" applyNumberFormat="1" applyFont="1" applyBorder="1" applyAlignment="1">
      <alignment horizontal="right"/>
    </xf>
    <xf numFmtId="3" fontId="17" fillId="0" borderId="26" xfId="45" applyNumberFormat="1" applyFont="1" applyBorder="1" applyAlignment="1">
      <alignment horizontal="right"/>
    </xf>
    <xf numFmtId="3" fontId="17" fillId="27" borderId="26" xfId="0" applyNumberFormat="1" applyFont="1" applyFill="1" applyBorder="1" applyAlignment="1">
      <alignment horizontal="right"/>
    </xf>
    <xf numFmtId="3" fontId="17" fillId="27" borderId="34" xfId="0" applyNumberFormat="1" applyFont="1" applyFill="1" applyBorder="1" applyAlignment="1">
      <alignment horizontal="right"/>
    </xf>
    <xf numFmtId="0" fontId="79" fillId="0" borderId="26" xfId="49" applyFont="1" applyFill="1" applyBorder="1" applyAlignment="1">
      <alignment horizontal="left" vertical="center"/>
    </xf>
    <xf numFmtId="0" fontId="17" fillId="26" borderId="26" xfId="49" applyFont="1" applyFill="1" applyBorder="1" applyAlignment="1">
      <alignment horizontal="left" vertical="center"/>
    </xf>
    <xf numFmtId="0" fontId="94" fillId="24" borderId="34" xfId="0" applyFont="1" applyFill="1" applyBorder="1" applyAlignment="1">
      <alignment horizontal="left" vertical="center" wrapText="1"/>
    </xf>
    <xf numFmtId="0" fontId="9" fillId="0" borderId="21" xfId="46" applyFont="1" applyFill="1" applyBorder="1" applyAlignment="1">
      <alignment horizontal="center" vertical="center" wrapText="1"/>
    </xf>
    <xf numFmtId="3" fontId="86" fillId="24" borderId="21" xfId="0" applyNumberFormat="1" applyFont="1" applyFill="1" applyBorder="1" applyAlignment="1">
      <alignment horizontal="right"/>
    </xf>
    <xf numFmtId="3" fontId="86" fillId="0" borderId="19" xfId="0" applyNumberFormat="1" applyFont="1" applyBorder="1" applyAlignment="1">
      <alignment horizontal="right"/>
    </xf>
    <xf numFmtId="3" fontId="87" fillId="0" borderId="6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103" fillId="24" borderId="0" xfId="0" applyNumberFormat="1" applyFont="1" applyFill="1" applyBorder="1" applyAlignment="1">
      <alignment horizontal="right" vertical="center"/>
    </xf>
    <xf numFmtId="0" fontId="56" fillId="0" borderId="0" xfId="45" applyFont="1" applyBorder="1" applyAlignment="1">
      <alignment horizontal="center" vertical="center" wrapText="1"/>
    </xf>
    <xf numFmtId="3" fontId="62" fillId="0" borderId="0" xfId="0" applyNumberFormat="1" applyFont="1" applyFill="1" applyBorder="1" applyAlignment="1">
      <alignment horizontal="center" vertical="center"/>
    </xf>
    <xf numFmtId="3" fontId="52" fillId="29" borderId="0" xfId="0" applyNumberFormat="1" applyFont="1" applyFill="1" applyBorder="1" applyAlignment="1">
      <alignment horizontal="center" vertical="center"/>
    </xf>
    <xf numFmtId="3" fontId="62" fillId="0" borderId="0" xfId="0" applyNumberFormat="1" applyFont="1" applyBorder="1" applyAlignment="1">
      <alignment horizontal="center" vertical="center"/>
    </xf>
    <xf numFmtId="3" fontId="52" fillId="24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5" fillId="0" borderId="0" xfId="64" applyFont="1" applyAlignment="1">
      <alignment horizontal="center" vertical="center"/>
    </xf>
    <xf numFmtId="3" fontId="46" fillId="0" borderId="0" xfId="67" applyNumberFormat="1" applyFont="1" applyFill="1" applyBorder="1" applyAlignment="1">
      <alignment horizontal="center" vertical="center"/>
    </xf>
    <xf numFmtId="3" fontId="17" fillId="29" borderId="0" xfId="30" applyNumberFormat="1" applyFont="1" applyFill="1" applyBorder="1" applyAlignment="1">
      <alignment horizontal="center" vertical="center"/>
    </xf>
    <xf numFmtId="3" fontId="17" fillId="24" borderId="0" xfId="30" applyNumberFormat="1" applyFont="1" applyFill="1" applyBorder="1" applyAlignment="1">
      <alignment horizontal="center" vertical="center"/>
    </xf>
    <xf numFmtId="0" fontId="125" fillId="0" borderId="0" xfId="0" applyFont="1" applyAlignment="1">
      <alignment horizontal="center" vertical="center"/>
    </xf>
    <xf numFmtId="0" fontId="126" fillId="0" borderId="0" xfId="0" applyFont="1" applyAlignment="1">
      <alignment horizontal="center" vertical="center"/>
    </xf>
    <xf numFmtId="3" fontId="125" fillId="0" borderId="0" xfId="0" applyNumberFormat="1" applyFont="1" applyAlignment="1">
      <alignment horizontal="center" vertical="center"/>
    </xf>
    <xf numFmtId="0" fontId="76" fillId="0" borderId="0" xfId="0" applyFont="1" applyBorder="1"/>
    <xf numFmtId="3" fontId="13" fillId="0" borderId="0" xfId="0" applyNumberFormat="1" applyFont="1" applyAlignment="1">
      <alignment horizontal="center"/>
    </xf>
    <xf numFmtId="0" fontId="96" fillId="0" borderId="0" xfId="45" applyFont="1" applyAlignment="1">
      <alignment horizontal="right"/>
    </xf>
    <xf numFmtId="0" fontId="100" fillId="0" borderId="0" xfId="58" applyFont="1" applyBorder="1" applyAlignment="1">
      <alignment horizontal="center" wrapText="1"/>
    </xf>
    <xf numFmtId="3" fontId="128" fillId="0" borderId="0" xfId="0" applyNumberFormat="1" applyFont="1"/>
    <xf numFmtId="0" fontId="99" fillId="0" borderId="0" xfId="45" applyFont="1" applyAlignment="1">
      <alignment horizontal="center" vertical="center" wrapText="1"/>
    </xf>
    <xf numFmtId="49" fontId="53" fillId="24" borderId="11" xfId="0" applyNumberFormat="1" applyFont="1" applyFill="1" applyBorder="1" applyAlignment="1">
      <alignment vertical="center"/>
    </xf>
    <xf numFmtId="0" fontId="142" fillId="0" borderId="17" xfId="45" applyFont="1" applyFill="1" applyBorder="1" applyAlignment="1">
      <alignment horizontal="center" vertical="center" wrapText="1"/>
    </xf>
    <xf numFmtId="169" fontId="137" fillId="0" borderId="48" xfId="67" applyNumberFormat="1" applyFont="1" applyFill="1" applyBorder="1" applyAlignment="1">
      <alignment horizontal="center" vertical="center"/>
    </xf>
    <xf numFmtId="0" fontId="86" fillId="0" borderId="17" xfId="45" applyFont="1" applyFill="1" applyBorder="1" applyAlignment="1">
      <alignment horizontal="center" vertical="center" wrapText="1"/>
    </xf>
    <xf numFmtId="0" fontId="86" fillId="0" borderId="15" xfId="45" applyFont="1" applyFill="1" applyBorder="1" applyAlignment="1">
      <alignment horizontal="center" vertical="center" wrapText="1"/>
    </xf>
    <xf numFmtId="169" fontId="103" fillId="0" borderId="17" xfId="67" applyNumberFormat="1" applyFont="1" applyFill="1" applyBorder="1" applyAlignment="1">
      <alignment horizontal="center" vertical="center"/>
    </xf>
    <xf numFmtId="3" fontId="46" fillId="0" borderId="27" xfId="67" applyNumberFormat="1" applyFont="1" applyFill="1" applyBorder="1" applyAlignment="1">
      <alignment vertical="center"/>
    </xf>
    <xf numFmtId="3" fontId="17" fillId="29" borderId="15" xfId="30" applyNumberFormat="1" applyFont="1" applyFill="1" applyBorder="1" applyAlignment="1">
      <alignment horizontal="right" vertical="center"/>
    </xf>
    <xf numFmtId="3" fontId="17" fillId="24" borderId="15" xfId="30" applyNumberFormat="1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left" vertical="center" wrapText="1"/>
    </xf>
    <xf numFmtId="0" fontId="45" fillId="0" borderId="14" xfId="0" applyFont="1" applyFill="1" applyBorder="1" applyAlignment="1">
      <alignment horizontal="left" vertical="center" wrapText="1"/>
    </xf>
    <xf numFmtId="0" fontId="46" fillId="0" borderId="14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7" fillId="24" borderId="14" xfId="0" applyFont="1" applyFill="1" applyBorder="1" applyAlignment="1">
      <alignment horizontal="left" vertical="center" wrapText="1"/>
    </xf>
    <xf numFmtId="0" fontId="45" fillId="27" borderId="41" xfId="0" applyFont="1" applyFill="1" applyBorder="1"/>
    <xf numFmtId="0" fontId="46" fillId="0" borderId="14" xfId="0" applyFont="1" applyFill="1" applyBorder="1" applyAlignment="1">
      <alignment vertical="center" wrapText="1"/>
    </xf>
    <xf numFmtId="3" fontId="18" fillId="0" borderId="10" xfId="0" applyNumberFormat="1" applyFont="1" applyBorder="1"/>
    <xf numFmtId="0" fontId="60" fillId="0" borderId="15" xfId="45" applyFont="1" applyBorder="1" applyAlignment="1">
      <alignment horizontal="center" vertical="center" wrapText="1"/>
    </xf>
    <xf numFmtId="3" fontId="119" fillId="29" borderId="15" xfId="0" applyNumberFormat="1" applyFont="1" applyFill="1" applyBorder="1" applyAlignment="1">
      <alignment horizontal="right"/>
    </xf>
    <xf numFmtId="0" fontId="46" fillId="0" borderId="26" xfId="45" applyFont="1" applyFill="1" applyBorder="1" applyAlignment="1">
      <alignment horizontal="center" vertical="center" wrapText="1"/>
    </xf>
    <xf numFmtId="0" fontId="121" fillId="0" borderId="0" xfId="61" applyFont="1" applyFill="1" applyBorder="1" applyAlignment="1">
      <alignment horizontal="right"/>
    </xf>
    <xf numFmtId="0" fontId="121" fillId="0" borderId="0" xfId="64" applyFont="1" applyAlignment="1">
      <alignment horizontal="right"/>
    </xf>
    <xf numFmtId="0" fontId="62" fillId="0" borderId="10" xfId="49" applyFont="1" applyFill="1" applyBorder="1" applyAlignment="1">
      <alignment vertical="center" wrapText="1"/>
    </xf>
    <xf numFmtId="0" fontId="62" fillId="0" borderId="10" xfId="49" applyFont="1" applyFill="1" applyBorder="1" applyAlignment="1">
      <alignment horizontal="left" vertical="center" wrapText="1"/>
    </xf>
    <xf numFmtId="0" fontId="146" fillId="0" borderId="10" xfId="49" applyFont="1" applyFill="1" applyBorder="1" applyAlignment="1">
      <alignment horizontal="left" vertical="center" wrapText="1"/>
    </xf>
    <xf numFmtId="0" fontId="52" fillId="29" borderId="10" xfId="49" applyFont="1" applyFill="1" applyBorder="1" applyAlignment="1">
      <alignment horizontal="left" vertical="center" wrapText="1"/>
    </xf>
    <xf numFmtId="0" fontId="52" fillId="26" borderId="10" xfId="49" applyFont="1" applyFill="1" applyBorder="1" applyAlignment="1">
      <alignment horizontal="left" vertical="center" wrapText="1"/>
    </xf>
    <xf numFmtId="0" fontId="119" fillId="24" borderId="35" xfId="0" applyFont="1" applyFill="1" applyBorder="1" applyAlignment="1">
      <alignment horizontal="left" vertical="center" wrapText="1"/>
    </xf>
    <xf numFmtId="3" fontId="17" fillId="0" borderId="27" xfId="79" applyNumberFormat="1" applyFont="1" applyFill="1" applyBorder="1" applyAlignment="1">
      <alignment horizontal="right"/>
    </xf>
    <xf numFmtId="3" fontId="46" fillId="0" borderId="27" xfId="79" applyNumberFormat="1" applyFont="1" applyFill="1" applyBorder="1" applyAlignment="1">
      <alignment horizontal="right"/>
    </xf>
    <xf numFmtId="3" fontId="94" fillId="0" borderId="27" xfId="45" applyNumberFormat="1" applyFont="1" applyFill="1" applyBorder="1" applyAlignment="1">
      <alignment horizontal="right"/>
    </xf>
    <xf numFmtId="3" fontId="17" fillId="26" borderId="27" xfId="45" applyNumberFormat="1" applyFont="1" applyFill="1" applyBorder="1" applyAlignment="1">
      <alignment horizontal="right"/>
    </xf>
    <xf numFmtId="3" fontId="46" fillId="28" borderId="27" xfId="0" applyNumberFormat="1" applyFont="1" applyFill="1" applyBorder="1" applyAlignment="1">
      <alignment horizontal="right"/>
    </xf>
    <xf numFmtId="3" fontId="46" fillId="0" borderId="27" xfId="45" applyNumberFormat="1" applyFont="1" applyBorder="1" applyAlignment="1">
      <alignment horizontal="right"/>
    </xf>
    <xf numFmtId="3" fontId="17" fillId="0" borderId="27" xfId="45" applyNumberFormat="1" applyFont="1" applyBorder="1" applyAlignment="1">
      <alignment horizontal="right"/>
    </xf>
    <xf numFmtId="3" fontId="17" fillId="27" borderId="27" xfId="0" applyNumberFormat="1" applyFont="1" applyFill="1" applyBorder="1" applyAlignment="1">
      <alignment horizontal="right"/>
    </xf>
    <xf numFmtId="3" fontId="17" fillId="27" borderId="36" xfId="0" applyNumberFormat="1" applyFont="1" applyFill="1" applyBorder="1" applyAlignment="1">
      <alignment horizontal="right"/>
    </xf>
    <xf numFmtId="3" fontId="130" fillId="0" borderId="27" xfId="45" applyNumberFormat="1" applyFont="1" applyFill="1" applyBorder="1"/>
    <xf numFmtId="3" fontId="103" fillId="24" borderId="15" xfId="45" applyNumberFormat="1" applyFont="1" applyFill="1" applyBorder="1"/>
    <xf numFmtId="3" fontId="130" fillId="0" borderId="15" xfId="45" applyNumberFormat="1" applyFont="1" applyFill="1" applyBorder="1"/>
    <xf numFmtId="3" fontId="102" fillId="0" borderId="29" xfId="45" applyNumberFormat="1" applyFont="1" applyFill="1" applyBorder="1"/>
    <xf numFmtId="3" fontId="102" fillId="0" borderId="15" xfId="45" applyNumberFormat="1" applyFont="1" applyFill="1" applyBorder="1"/>
    <xf numFmtId="0" fontId="77" fillId="0" borderId="26" xfId="0" applyFont="1" applyFill="1" applyBorder="1" applyAlignment="1">
      <alignment horizontal="left" vertical="center" wrapText="1"/>
    </xf>
    <xf numFmtId="3" fontId="147" fillId="0" borderId="10" xfId="0" applyNumberFormat="1" applyFont="1" applyFill="1" applyBorder="1" applyAlignment="1">
      <alignment horizontal="right" vertical="center"/>
    </xf>
    <xf numFmtId="0" fontId="143" fillId="0" borderId="0" xfId="0" applyFont="1" applyAlignment="1">
      <alignment horizontal="center" wrapText="1"/>
    </xf>
    <xf numFmtId="0" fontId="144" fillId="0" borderId="0" xfId="0" applyFont="1" applyAlignment="1">
      <alignment horizontal="center" wrapText="1"/>
    </xf>
    <xf numFmtId="0" fontId="10" fillId="0" borderId="0" xfId="76" applyFont="1" applyAlignment="1"/>
    <xf numFmtId="3" fontId="14" fillId="0" borderId="0" xfId="76" applyNumberFormat="1" applyFont="1" applyFill="1" applyBorder="1" applyAlignment="1">
      <alignment horizontal="right" wrapText="1"/>
    </xf>
    <xf numFmtId="0" fontId="10" fillId="0" borderId="0" xfId="76" applyFont="1" applyBorder="1" applyAlignment="1"/>
    <xf numFmtId="3" fontId="102" fillId="0" borderId="23" xfId="45" applyNumberFormat="1" applyFont="1" applyFill="1" applyBorder="1"/>
    <xf numFmtId="0" fontId="46" fillId="0" borderId="23" xfId="0" applyFont="1" applyFill="1" applyBorder="1" applyAlignment="1">
      <alignment vertical="center" wrapText="1"/>
    </xf>
    <xf numFmtId="3" fontId="46" fillId="0" borderId="26" xfId="45" applyNumberFormat="1" applyFont="1" applyBorder="1" applyAlignment="1">
      <alignment vertical="center"/>
    </xf>
    <xf numFmtId="3" fontId="46" fillId="0" borderId="27" xfId="45" applyNumberFormat="1" applyFont="1" applyBorder="1" applyAlignment="1">
      <alignment vertical="center"/>
    </xf>
    <xf numFmtId="3" fontId="18" fillId="0" borderId="0" xfId="45" applyNumberFormat="1" applyFont="1" applyAlignment="1">
      <alignment vertical="center"/>
    </xf>
    <xf numFmtId="0" fontId="18" fillId="0" borderId="0" xfId="45" applyFont="1" applyAlignment="1">
      <alignment vertical="center"/>
    </xf>
    <xf numFmtId="3" fontId="98" fillId="0" borderId="0" xfId="45" applyNumberFormat="1" applyFont="1" applyFill="1" applyBorder="1" applyAlignment="1">
      <alignment horizontal="left" vertical="center"/>
    </xf>
    <xf numFmtId="0" fontId="18" fillId="0" borderId="14" xfId="45" applyFont="1" applyFill="1" applyBorder="1" applyAlignment="1">
      <alignment horizontal="left" vertical="center" wrapText="1"/>
    </xf>
    <xf numFmtId="0" fontId="45" fillId="26" borderId="14" xfId="45" applyFont="1" applyFill="1" applyBorder="1" applyAlignment="1">
      <alignment horizontal="left" vertical="center" wrapText="1"/>
    </xf>
    <xf numFmtId="0" fontId="45" fillId="28" borderId="14" xfId="0" applyFont="1" applyFill="1" applyBorder="1"/>
    <xf numFmtId="0" fontId="46" fillId="0" borderId="14" xfId="0" applyFont="1" applyFill="1" applyBorder="1" applyAlignment="1">
      <alignment horizontal="left" vertical="center"/>
    </xf>
    <xf numFmtId="0" fontId="45" fillId="24" borderId="14" xfId="45" applyFont="1" applyFill="1" applyBorder="1" applyAlignment="1">
      <alignment horizontal="left" vertical="center" wrapText="1"/>
    </xf>
    <xf numFmtId="3" fontId="46" fillId="0" borderId="37" xfId="45" applyNumberFormat="1" applyFont="1" applyBorder="1"/>
    <xf numFmtId="3" fontId="17" fillId="26" borderId="37" xfId="45" applyNumberFormat="1" applyFont="1" applyFill="1" applyBorder="1"/>
    <xf numFmtId="3" fontId="46" fillId="0" borderId="37" xfId="45" applyNumberFormat="1" applyFont="1" applyBorder="1" applyAlignment="1">
      <alignment vertical="center"/>
    </xf>
    <xf numFmtId="3" fontId="17" fillId="24" borderId="37" xfId="0" applyNumberFormat="1" applyFont="1" applyFill="1" applyBorder="1"/>
    <xf numFmtId="3" fontId="17" fillId="28" borderId="37" xfId="0" applyNumberFormat="1" applyFont="1" applyFill="1" applyBorder="1"/>
    <xf numFmtId="3" fontId="17" fillId="24" borderId="37" xfId="45" applyNumberFormat="1" applyFont="1" applyFill="1" applyBorder="1"/>
    <xf numFmtId="3" fontId="17" fillId="27" borderId="61" xfId="0" applyNumberFormat="1" applyFont="1" applyFill="1" applyBorder="1"/>
    <xf numFmtId="3" fontId="46" fillId="0" borderId="14" xfId="45" applyNumberFormat="1" applyFont="1" applyBorder="1"/>
    <xf numFmtId="3" fontId="17" fillId="26" borderId="14" xfId="45" applyNumberFormat="1" applyFont="1" applyFill="1" applyBorder="1"/>
    <xf numFmtId="3" fontId="46" fillId="0" borderId="14" xfId="45" applyNumberFormat="1" applyFont="1" applyBorder="1" applyAlignment="1">
      <alignment vertical="center"/>
    </xf>
    <xf numFmtId="3" fontId="17" fillId="24" borderId="14" xfId="0" applyNumberFormat="1" applyFont="1" applyFill="1" applyBorder="1"/>
    <xf numFmtId="3" fontId="17" fillId="28" borderId="14" xfId="0" applyNumberFormat="1" applyFont="1" applyFill="1" applyBorder="1"/>
    <xf numFmtId="3" fontId="17" fillId="24" borderId="14" xfId="45" applyNumberFormat="1" applyFont="1" applyFill="1" applyBorder="1"/>
    <xf numFmtId="3" fontId="17" fillId="27" borderId="41" xfId="0" applyNumberFormat="1" applyFont="1" applyFill="1" applyBorder="1"/>
    <xf numFmtId="0" fontId="18" fillId="0" borderId="25" xfId="45" applyFont="1" applyFill="1" applyBorder="1" applyAlignment="1">
      <alignment horizontal="left" vertical="center"/>
    </xf>
    <xf numFmtId="0" fontId="18" fillId="0" borderId="13" xfId="45" applyFont="1" applyFill="1" applyBorder="1" applyAlignment="1">
      <alignment horizontal="left" vertical="center" wrapText="1"/>
    </xf>
    <xf numFmtId="3" fontId="46" fillId="0" borderId="65" xfId="45" applyNumberFormat="1" applyFont="1" applyBorder="1"/>
    <xf numFmtId="3" fontId="46" fillId="0" borderId="13" xfId="45" applyNumberFormat="1" applyFont="1" applyBorder="1"/>
    <xf numFmtId="3" fontId="46" fillId="0" borderId="29" xfId="45" applyNumberFormat="1" applyFont="1" applyBorder="1"/>
    <xf numFmtId="0" fontId="77" fillId="0" borderId="16" xfId="45" applyFont="1" applyFill="1" applyBorder="1" applyAlignment="1">
      <alignment horizontal="center" vertical="center" wrapText="1"/>
    </xf>
    <xf numFmtId="0" fontId="77" fillId="0" borderId="48" xfId="45" applyFont="1" applyFill="1" applyBorder="1" applyAlignment="1">
      <alignment horizontal="center" vertical="center"/>
    </xf>
    <xf numFmtId="0" fontId="77" fillId="0" borderId="16" xfId="45" applyFont="1" applyBorder="1" applyAlignment="1">
      <alignment horizontal="center" vertical="center" wrapText="1"/>
    </xf>
    <xf numFmtId="0" fontId="77" fillId="0" borderId="15" xfId="45" applyFont="1" applyBorder="1" applyAlignment="1">
      <alignment horizontal="center" vertical="center" wrapText="1"/>
    </xf>
    <xf numFmtId="0" fontId="77" fillId="0" borderId="18" xfId="45" applyFont="1" applyBorder="1" applyAlignment="1">
      <alignment horizontal="center" vertical="center" wrapText="1"/>
    </xf>
    <xf numFmtId="0" fontId="77" fillId="0" borderId="48" xfId="45" applyFont="1" applyBorder="1" applyAlignment="1">
      <alignment horizontal="center" vertical="center" wrapText="1"/>
    </xf>
    <xf numFmtId="168" fontId="46" fillId="0" borderId="25" xfId="0" applyNumberFormat="1" applyFont="1" applyFill="1" applyBorder="1" applyAlignment="1">
      <alignment vertical="center"/>
    </xf>
    <xf numFmtId="0" fontId="77" fillId="0" borderId="16" xfId="0" applyFont="1" applyFill="1" applyBorder="1" applyAlignment="1">
      <alignment horizontal="center" vertical="center" wrapText="1"/>
    </xf>
    <xf numFmtId="0" fontId="77" fillId="0" borderId="17" xfId="0" applyFont="1" applyFill="1" applyBorder="1" applyAlignment="1">
      <alignment horizontal="center" vertical="center"/>
    </xf>
    <xf numFmtId="0" fontId="17" fillId="0" borderId="14" xfId="45" applyFont="1" applyFill="1" applyBorder="1" applyAlignment="1">
      <alignment horizontal="left" vertical="center" wrapText="1"/>
    </xf>
    <xf numFmtId="0" fontId="94" fillId="0" borderId="14" xfId="0" applyFont="1" applyFill="1" applyBorder="1" applyAlignment="1">
      <alignment horizontal="left" vertical="center" wrapText="1"/>
    </xf>
    <xf numFmtId="0" fontId="17" fillId="26" borderId="14" xfId="45" applyFont="1" applyFill="1" applyBorder="1" applyAlignment="1">
      <alignment horizontal="left" vertical="center" wrapText="1"/>
    </xf>
    <xf numFmtId="0" fontId="17" fillId="28" borderId="14" xfId="0" applyFont="1" applyFill="1" applyBorder="1"/>
    <xf numFmtId="0" fontId="17" fillId="27" borderId="14" xfId="0" applyFont="1" applyFill="1" applyBorder="1"/>
    <xf numFmtId="0" fontId="17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left" vertical="center"/>
    </xf>
    <xf numFmtId="0" fontId="17" fillId="27" borderId="41" xfId="0" applyFont="1" applyFill="1" applyBorder="1"/>
    <xf numFmtId="0" fontId="17" fillId="0" borderId="25" xfId="45" applyFont="1" applyFill="1" applyBorder="1" applyAlignment="1">
      <alignment horizontal="left" vertical="center"/>
    </xf>
    <xf numFmtId="0" fontId="17" fillId="0" borderId="13" xfId="45" applyFont="1" applyFill="1" applyBorder="1" applyAlignment="1">
      <alignment horizontal="left" vertical="center" wrapText="1"/>
    </xf>
    <xf numFmtId="3" fontId="17" fillId="0" borderId="25" xfId="79" applyNumberFormat="1" applyFont="1" applyFill="1" applyBorder="1" applyAlignment="1">
      <alignment horizontal="right"/>
    </xf>
    <xf numFmtId="3" fontId="17" fillId="0" borderId="29" xfId="79" applyNumberFormat="1" applyFont="1" applyFill="1" applyBorder="1" applyAlignment="1">
      <alignment horizontal="right"/>
    </xf>
    <xf numFmtId="0" fontId="17" fillId="0" borderId="16" xfId="45" applyFont="1" applyFill="1" applyBorder="1" applyAlignment="1">
      <alignment horizontal="center" vertical="center" wrapText="1"/>
    </xf>
    <xf numFmtId="0" fontId="17" fillId="0" borderId="48" xfId="45" applyFont="1" applyFill="1" applyBorder="1" applyAlignment="1">
      <alignment horizontal="center" vertical="center"/>
    </xf>
    <xf numFmtId="0" fontId="17" fillId="0" borderId="15" xfId="45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vertical="center"/>
    </xf>
    <xf numFmtId="3" fontId="16" fillId="0" borderId="0" xfId="0" applyNumberFormat="1" applyFont="1"/>
    <xf numFmtId="0" fontId="103" fillId="0" borderId="0" xfId="46" applyFont="1" applyAlignment="1">
      <alignment horizontal="center"/>
    </xf>
    <xf numFmtId="0" fontId="100" fillId="0" borderId="0" xfId="58" applyFont="1" applyBorder="1" applyAlignment="1">
      <alignment horizontal="center" wrapText="1"/>
    </xf>
    <xf numFmtId="0" fontId="77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3" fontId="18" fillId="0" borderId="27" xfId="0" applyNumberFormat="1" applyFont="1" applyBorder="1"/>
    <xf numFmtId="0" fontId="45" fillId="0" borderId="10" xfId="0" applyFont="1" applyFill="1" applyBorder="1" applyAlignment="1">
      <alignment horizontal="left" vertical="center" wrapText="1"/>
    </xf>
    <xf numFmtId="3" fontId="45" fillId="0" borderId="10" xfId="0" applyNumberFormat="1" applyFont="1" applyBorder="1"/>
    <xf numFmtId="3" fontId="45" fillId="0" borderId="27" xfId="0" applyNumberFormat="1" applyFont="1" applyBorder="1"/>
    <xf numFmtId="0" fontId="18" fillId="0" borderId="10" xfId="79" applyFont="1" applyFill="1" applyBorder="1" applyAlignment="1">
      <alignment horizontal="left" vertical="center" wrapText="1"/>
    </xf>
    <xf numFmtId="0" fontId="45" fillId="26" borderId="10" xfId="0" applyFont="1" applyFill="1" applyBorder="1" applyAlignment="1">
      <alignment horizontal="left" vertical="center" wrapText="1"/>
    </xf>
    <xf numFmtId="3" fontId="45" fillId="26" borderId="10" xfId="0" applyNumberFormat="1" applyFont="1" applyFill="1" applyBorder="1"/>
    <xf numFmtId="3" fontId="45" fillId="26" borderId="27" xfId="0" applyNumberFormat="1" applyFont="1" applyFill="1" applyBorder="1"/>
    <xf numFmtId="3" fontId="45" fillId="24" borderId="10" xfId="0" applyNumberFormat="1" applyFont="1" applyFill="1" applyBorder="1"/>
    <xf numFmtId="3" fontId="45" fillId="24" borderId="27" xfId="0" applyNumberFormat="1" applyFont="1" applyFill="1" applyBorder="1"/>
    <xf numFmtId="0" fontId="18" fillId="28" borderId="10" xfId="0" applyFont="1" applyFill="1" applyBorder="1"/>
    <xf numFmtId="3" fontId="18" fillId="28" borderId="10" xfId="0" applyNumberFormat="1" applyFont="1" applyFill="1" applyBorder="1"/>
    <xf numFmtId="3" fontId="18" fillId="28" borderId="27" xfId="0" applyNumberFormat="1" applyFont="1" applyFill="1" applyBorder="1"/>
    <xf numFmtId="0" fontId="17" fillId="24" borderId="10" xfId="0" applyFont="1" applyFill="1" applyBorder="1" applyAlignment="1">
      <alignment horizontal="left" vertical="center"/>
    </xf>
    <xf numFmtId="0" fontId="45" fillId="27" borderId="35" xfId="0" applyFont="1" applyFill="1" applyBorder="1"/>
    <xf numFmtId="3" fontId="45" fillId="27" borderId="35" xfId="0" applyNumberFormat="1" applyFont="1" applyFill="1" applyBorder="1"/>
    <xf numFmtId="3" fontId="45" fillId="27" borderId="36" xfId="0" applyNumberFormat="1" applyFont="1" applyFill="1" applyBorder="1"/>
    <xf numFmtId="0" fontId="77" fillId="0" borderId="10" xfId="0" applyFont="1" applyBorder="1" applyAlignment="1">
      <alignment horizontal="center" vertical="center" wrapText="1"/>
    </xf>
    <xf numFmtId="3" fontId="46" fillId="0" borderId="10" xfId="0" applyNumberFormat="1" applyFont="1" applyFill="1" applyBorder="1" applyAlignment="1">
      <alignment horizontal="left" vertical="center" wrapText="1"/>
    </xf>
    <xf numFmtId="3" fontId="46" fillId="0" borderId="10" xfId="0" applyNumberFormat="1" applyFont="1" applyFill="1" applyBorder="1" applyAlignment="1">
      <alignment horizontal="left" vertical="center"/>
    </xf>
    <xf numFmtId="0" fontId="77" fillId="0" borderId="27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right" vertical="center" wrapText="1"/>
    </xf>
    <xf numFmtId="0" fontId="54" fillId="0" borderId="10" xfId="0" applyFont="1" applyFill="1" applyBorder="1" applyAlignment="1">
      <alignment horizontal="right" vertical="center" wrapText="1"/>
    </xf>
    <xf numFmtId="0" fontId="54" fillId="0" borderId="10" xfId="0" applyFont="1" applyFill="1" applyBorder="1" applyAlignment="1">
      <alignment horizontal="right" vertical="center"/>
    </xf>
    <xf numFmtId="0" fontId="76" fillId="0" borderId="10" xfId="0" applyFont="1" applyFill="1" applyBorder="1" applyAlignment="1">
      <alignment horizontal="right" vertical="center"/>
    </xf>
    <xf numFmtId="0" fontId="77" fillId="0" borderId="27" xfId="0" applyFont="1" applyBorder="1" applyAlignment="1">
      <alignment horizontal="center" vertical="center" wrapText="1"/>
    </xf>
    <xf numFmtId="3" fontId="46" fillId="0" borderId="27" xfId="0" applyNumberFormat="1" applyFont="1" applyFill="1" applyBorder="1" applyAlignment="1">
      <alignment horizontal="right" vertical="center"/>
    </xf>
    <xf numFmtId="0" fontId="16" fillId="0" borderId="27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right" vertical="center" wrapText="1"/>
    </xf>
    <xf numFmtId="0" fontId="46" fillId="0" borderId="12" xfId="0" applyFont="1" applyFill="1" applyBorder="1" applyAlignment="1">
      <alignment horizontal="right" vertical="center" wrapText="1"/>
    </xf>
    <xf numFmtId="0" fontId="18" fillId="0" borderId="12" xfId="0" applyFont="1" applyFill="1" applyBorder="1" applyAlignment="1">
      <alignment horizontal="right" vertical="center"/>
    </xf>
    <xf numFmtId="3" fontId="105" fillId="0" borderId="23" xfId="27" applyNumberFormat="1" applyFont="1" applyFill="1" applyBorder="1" applyAlignment="1">
      <alignment horizontal="right"/>
    </xf>
    <xf numFmtId="3" fontId="46" fillId="0" borderId="10" xfId="78" applyNumberFormat="1" applyFont="1" applyFill="1" applyBorder="1" applyAlignment="1">
      <alignment horizontal="right" vertical="center"/>
    </xf>
    <xf numFmtId="0" fontId="151" fillId="0" borderId="14" xfId="67" applyFont="1" applyFill="1" applyBorder="1" applyAlignment="1">
      <alignment horizontal="left" vertical="center" wrapText="1"/>
    </xf>
    <xf numFmtId="0" fontId="151" fillId="0" borderId="26" xfId="67" applyFont="1" applyFill="1" applyBorder="1" applyAlignment="1">
      <alignment horizontal="center" vertical="center" wrapText="1"/>
    </xf>
    <xf numFmtId="0" fontId="151" fillId="0" borderId="14" xfId="67" applyFont="1" applyFill="1" applyBorder="1" applyAlignment="1">
      <alignment vertical="center" wrapText="1"/>
    </xf>
    <xf numFmtId="0" fontId="152" fillId="29" borderId="26" xfId="0" applyFont="1" applyFill="1" applyBorder="1" applyAlignment="1">
      <alignment horizontal="center" vertical="center"/>
    </xf>
    <xf numFmtId="166" fontId="152" fillId="29" borderId="14" xfId="0" applyNumberFormat="1" applyFont="1" applyFill="1" applyBorder="1" applyAlignment="1">
      <alignment horizontal="left" vertical="center"/>
    </xf>
    <xf numFmtId="166" fontId="151" fillId="0" borderId="14" xfId="0" applyNumberFormat="1" applyFont="1" applyFill="1" applyBorder="1" applyAlignment="1">
      <alignment horizontal="left" vertical="center" wrapText="1"/>
    </xf>
    <xf numFmtId="0" fontId="151" fillId="0" borderId="14" xfId="60" applyFont="1" applyFill="1" applyBorder="1" applyAlignment="1">
      <alignment vertical="center" wrapText="1"/>
    </xf>
    <xf numFmtId="166" fontId="152" fillId="29" borderId="39" xfId="0" applyNumberFormat="1" applyFont="1" applyFill="1" applyBorder="1" applyAlignment="1">
      <alignment horizontal="left" vertical="center"/>
    </xf>
    <xf numFmtId="3" fontId="152" fillId="24" borderId="16" xfId="0" applyNumberFormat="1" applyFont="1" applyFill="1" applyBorder="1" applyAlignment="1">
      <alignment horizontal="center" vertical="center"/>
    </xf>
    <xf numFmtId="166" fontId="152" fillId="24" borderId="48" xfId="0" applyNumberFormat="1" applyFont="1" applyFill="1" applyBorder="1" applyAlignment="1">
      <alignment horizontal="left" vertical="center"/>
    </xf>
    <xf numFmtId="0" fontId="102" fillId="0" borderId="0" xfId="46" applyFont="1"/>
    <xf numFmtId="0" fontId="102" fillId="0" borderId="0" xfId="46" applyFont="1" applyAlignment="1">
      <alignment vertical="center"/>
    </xf>
    <xf numFmtId="0" fontId="103" fillId="0" borderId="0" xfId="46" applyFont="1" applyAlignment="1"/>
    <xf numFmtId="0" fontId="102" fillId="0" borderId="0" xfId="46" applyFont="1" applyFill="1" applyBorder="1"/>
    <xf numFmtId="3" fontId="102" fillId="0" borderId="0" xfId="46" applyNumberFormat="1" applyFont="1" applyFill="1" applyBorder="1"/>
    <xf numFmtId="0" fontId="102" fillId="0" borderId="0" xfId="64" applyFont="1" applyBorder="1" applyAlignment="1">
      <alignment horizontal="right"/>
    </xf>
    <xf numFmtId="0" fontId="103" fillId="0" borderId="0" xfId="46" applyFont="1" applyFill="1" applyAlignment="1">
      <alignment vertical="center"/>
    </xf>
    <xf numFmtId="0" fontId="103" fillId="0" borderId="0" xfId="46" applyFont="1" applyFill="1" applyBorder="1" applyAlignment="1">
      <alignment vertical="center"/>
    </xf>
    <xf numFmtId="3" fontId="103" fillId="0" borderId="0" xfId="46" applyNumberFormat="1" applyFont="1" applyFill="1" applyBorder="1" applyAlignment="1">
      <alignment vertical="center"/>
    </xf>
    <xf numFmtId="0" fontId="102" fillId="0" borderId="0" xfId="46" applyFont="1" applyFill="1" applyAlignment="1">
      <alignment vertical="center"/>
    </xf>
    <xf numFmtId="3" fontId="102" fillId="0" borderId="0" xfId="46" applyNumberFormat="1" applyFont="1" applyFill="1" applyAlignment="1">
      <alignment vertical="center"/>
    </xf>
    <xf numFmtId="0" fontId="102" fillId="0" borderId="0" xfId="46" applyFont="1" applyFill="1"/>
    <xf numFmtId="0" fontId="103" fillId="0" borderId="0" xfId="46" applyFont="1" applyFill="1"/>
    <xf numFmtId="0" fontId="103" fillId="0" borderId="0" xfId="46" applyFont="1"/>
    <xf numFmtId="0" fontId="102" fillId="0" borderId="0" xfId="46" applyFont="1" applyBorder="1"/>
    <xf numFmtId="3" fontId="102" fillId="0" borderId="0" xfId="46" applyNumberFormat="1" applyFont="1" applyBorder="1"/>
    <xf numFmtId="3" fontId="102" fillId="0" borderId="0" xfId="46" applyNumberFormat="1" applyFont="1"/>
    <xf numFmtId="3" fontId="52" fillId="0" borderId="27" xfId="0" applyNumberFormat="1" applyFont="1" applyBorder="1" applyAlignment="1">
      <alignment horizontal="right"/>
    </xf>
    <xf numFmtId="0" fontId="152" fillId="0" borderId="14" xfId="67" applyFont="1" applyFill="1" applyBorder="1" applyAlignment="1">
      <alignment vertical="center" wrapText="1"/>
    </xf>
    <xf numFmtId="0" fontId="103" fillId="34" borderId="10" xfId="58" applyFont="1" applyFill="1" applyBorder="1" applyAlignment="1">
      <alignment vertical="center"/>
    </xf>
    <xf numFmtId="2" fontId="98" fillId="34" borderId="10" xfId="58" applyNumberFormat="1" applyFont="1" applyFill="1" applyBorder="1" applyAlignment="1">
      <alignment vertical="center"/>
    </xf>
    <xf numFmtId="1" fontId="45" fillId="0" borderId="43" xfId="55" applyNumberFormat="1" applyFont="1" applyBorder="1" applyAlignment="1">
      <alignment horizontal="center"/>
    </xf>
    <xf numFmtId="1" fontId="45" fillId="0" borderId="40" xfId="55" applyNumberFormat="1" applyFont="1" applyBorder="1" applyAlignment="1">
      <alignment horizontal="center"/>
    </xf>
    <xf numFmtId="1" fontId="45" fillId="0" borderId="47" xfId="55" applyNumberFormat="1" applyFont="1" applyBorder="1" applyAlignment="1">
      <alignment horizontal="center"/>
    </xf>
    <xf numFmtId="0" fontId="46" fillId="0" borderId="26" xfId="70" applyFont="1" applyBorder="1"/>
    <xf numFmtId="1" fontId="18" fillId="0" borderId="27" xfId="55" applyNumberFormat="1" applyFont="1" applyBorder="1"/>
    <xf numFmtId="170" fontId="45" fillId="0" borderId="27" xfId="55" applyNumberFormat="1" applyFont="1" applyBorder="1"/>
    <xf numFmtId="170" fontId="45" fillId="33" borderId="27" xfId="55" applyNumberFormat="1" applyFont="1" applyFill="1" applyBorder="1"/>
    <xf numFmtId="0" fontId="46" fillId="0" borderId="69" xfId="70" applyFont="1" applyBorder="1"/>
    <xf numFmtId="1" fontId="45" fillId="0" borderId="69" xfId="55" applyNumberFormat="1" applyFont="1" applyBorder="1"/>
    <xf numFmtId="170" fontId="18" fillId="0" borderId="69" xfId="55" applyNumberFormat="1" applyFont="1" applyBorder="1"/>
    <xf numFmtId="0" fontId="46" fillId="0" borderId="43" xfId="70" applyFont="1" applyBorder="1"/>
    <xf numFmtId="1" fontId="45" fillId="0" borderId="40" xfId="55" applyNumberFormat="1" applyFont="1" applyBorder="1"/>
    <xf numFmtId="170" fontId="18" fillId="0" borderId="40" xfId="55" applyNumberFormat="1" applyFont="1" applyBorder="1"/>
    <xf numFmtId="170" fontId="18" fillId="0" borderId="47" xfId="55" applyNumberFormat="1" applyFont="1" applyBorder="1"/>
    <xf numFmtId="170" fontId="17" fillId="0" borderId="27" xfId="55" applyNumberFormat="1" applyFont="1" applyBorder="1"/>
    <xf numFmtId="0" fontId="46" fillId="0" borderId="42" xfId="70" applyFont="1" applyBorder="1"/>
    <xf numFmtId="1" fontId="18" fillId="0" borderId="42" xfId="55" applyNumberFormat="1" applyFont="1" applyBorder="1"/>
    <xf numFmtId="170" fontId="18" fillId="0" borderId="42" xfId="55" applyNumberFormat="1" applyFont="1" applyBorder="1"/>
    <xf numFmtId="0" fontId="46" fillId="35" borderId="34" xfId="70" applyFont="1" applyFill="1" applyBorder="1"/>
    <xf numFmtId="1" fontId="45" fillId="35" borderId="35" xfId="55" applyNumberFormat="1" applyFont="1" applyFill="1" applyBorder="1"/>
    <xf numFmtId="170" fontId="45" fillId="35" borderId="35" xfId="31" applyNumberFormat="1" applyFont="1" applyFill="1" applyBorder="1"/>
    <xf numFmtId="170" fontId="45" fillId="35" borderId="36" xfId="31" applyNumberFormat="1" applyFont="1" applyFill="1" applyBorder="1"/>
    <xf numFmtId="3" fontId="46" fillId="0" borderId="27" xfId="54" applyNumberFormat="1" applyFont="1" applyFill="1" applyBorder="1" applyAlignment="1">
      <alignment horizontal="right" vertical="center"/>
    </xf>
    <xf numFmtId="3" fontId="17" fillId="0" borderId="27" xfId="54" applyNumberFormat="1" applyFont="1" applyFill="1" applyBorder="1" applyAlignment="1">
      <alignment horizontal="right" vertical="center"/>
    </xf>
    <xf numFmtId="3" fontId="17" fillId="24" borderId="27" xfId="54" applyNumberFormat="1" applyFont="1" applyFill="1" applyBorder="1" applyAlignment="1">
      <alignment horizontal="right" vertical="center"/>
    </xf>
    <xf numFmtId="3" fontId="94" fillId="27" borderId="36" xfId="54" applyNumberFormat="1" applyFont="1" applyFill="1" applyBorder="1" applyAlignment="1">
      <alignment horizontal="right" vertical="center" wrapText="1"/>
    </xf>
    <xf numFmtId="0" fontId="45" fillId="0" borderId="18" xfId="54" applyFont="1" applyFill="1" applyBorder="1" applyAlignment="1">
      <alignment horizontal="center" vertical="center"/>
    </xf>
    <xf numFmtId="0" fontId="45" fillId="0" borderId="65" xfId="54" applyFont="1" applyFill="1" applyBorder="1" applyAlignment="1">
      <alignment vertical="center" wrapText="1"/>
    </xf>
    <xf numFmtId="0" fontId="45" fillId="0" borderId="37" xfId="54" applyFont="1" applyFill="1" applyBorder="1" applyAlignment="1">
      <alignment horizontal="left" vertical="center" wrapText="1"/>
    </xf>
    <xf numFmtId="0" fontId="17" fillId="0" borderId="37" xfId="54" applyFont="1" applyFill="1" applyBorder="1" applyAlignment="1">
      <alignment horizontal="left" vertical="center" wrapText="1"/>
    </xf>
    <xf numFmtId="0" fontId="46" fillId="0" borderId="37" xfId="54" applyFont="1" applyFill="1" applyBorder="1" applyAlignment="1">
      <alignment vertical="center" wrapText="1"/>
    </xf>
    <xf numFmtId="0" fontId="46" fillId="0" borderId="37" xfId="54" applyFont="1" applyFill="1" applyBorder="1" applyAlignment="1">
      <alignment vertical="center"/>
    </xf>
    <xf numFmtId="0" fontId="45" fillId="0" borderId="37" xfId="54" applyFont="1" applyFill="1" applyBorder="1" applyAlignment="1">
      <alignment horizontal="left" vertical="center"/>
    </xf>
    <xf numFmtId="0" fontId="45" fillId="24" borderId="37" xfId="54" applyFont="1" applyFill="1" applyBorder="1" applyAlignment="1">
      <alignment horizontal="left" vertical="center"/>
    </xf>
    <xf numFmtId="0" fontId="46" fillId="0" borderId="37" xfId="54" applyFont="1" applyFill="1" applyBorder="1" applyAlignment="1">
      <alignment horizontal="left" vertical="center" wrapText="1"/>
    </xf>
    <xf numFmtId="0" fontId="46" fillId="0" borderId="37" xfId="54" applyFont="1" applyFill="1" applyBorder="1" applyAlignment="1">
      <alignment horizontal="left" vertical="center"/>
    </xf>
    <xf numFmtId="0" fontId="17" fillId="0" borderId="37" xfId="54" applyFont="1" applyFill="1" applyBorder="1" applyAlignment="1">
      <alignment horizontal="left" vertical="center"/>
    </xf>
    <xf numFmtId="0" fontId="17" fillId="24" borderId="37" xfId="54" applyFont="1" applyFill="1" applyBorder="1" applyAlignment="1">
      <alignment horizontal="left" vertical="center"/>
    </xf>
    <xf numFmtId="3" fontId="46" fillId="0" borderId="29" xfId="45" applyNumberFormat="1" applyFont="1" applyFill="1" applyBorder="1"/>
    <xf numFmtId="3" fontId="46" fillId="0" borderId="26" xfId="45" applyNumberFormat="1" applyFont="1" applyFill="1" applyBorder="1"/>
    <xf numFmtId="3" fontId="46" fillId="0" borderId="27" xfId="45" applyNumberFormat="1" applyFont="1" applyFill="1" applyBorder="1"/>
    <xf numFmtId="3" fontId="134" fillId="0" borderId="17" xfId="45" applyNumberFormat="1" applyFont="1" applyFill="1" applyBorder="1"/>
    <xf numFmtId="3" fontId="102" fillId="0" borderId="10" xfId="45" applyNumberFormat="1" applyFont="1" applyFill="1" applyBorder="1"/>
    <xf numFmtId="3" fontId="102" fillId="0" borderId="27" xfId="45" applyNumberFormat="1" applyFont="1" applyFill="1" applyBorder="1"/>
    <xf numFmtId="3" fontId="102" fillId="0" borderId="23" xfId="45" applyNumberFormat="1" applyFont="1" applyFill="1" applyBorder="1" applyAlignment="1">
      <alignment vertical="center"/>
    </xf>
    <xf numFmtId="3" fontId="102" fillId="0" borderId="29" xfId="45" applyNumberFormat="1" applyFont="1" applyFill="1" applyBorder="1" applyAlignment="1">
      <alignment vertical="center"/>
    </xf>
    <xf numFmtId="3" fontId="102" fillId="0" borderId="17" xfId="45" applyNumberFormat="1" applyFont="1" applyFill="1" applyBorder="1"/>
    <xf numFmtId="0" fontId="13" fillId="0" borderId="43" xfId="0" applyFont="1" applyFill="1" applyBorder="1" applyAlignment="1">
      <alignment horizontal="center" vertical="center" wrapText="1"/>
    </xf>
    <xf numFmtId="0" fontId="54" fillId="0" borderId="40" xfId="0" applyFont="1" applyFill="1" applyBorder="1" applyAlignment="1">
      <alignment horizontal="left" vertical="center" wrapText="1"/>
    </xf>
    <xf numFmtId="49" fontId="77" fillId="24" borderId="16" xfId="0" applyNumberFormat="1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53" fillId="0" borderId="17" xfId="45" applyFont="1" applyFill="1" applyBorder="1" applyAlignment="1">
      <alignment horizontal="center" vertical="center" wrapText="1"/>
    </xf>
    <xf numFmtId="0" fontId="46" fillId="0" borderId="25" xfId="0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left" vertical="center"/>
    </xf>
    <xf numFmtId="0" fontId="94" fillId="0" borderId="16" xfId="0" applyFont="1" applyFill="1" applyBorder="1" applyAlignment="1">
      <alignment horizontal="center" vertical="center"/>
    </xf>
    <xf numFmtId="0" fontId="94" fillId="0" borderId="17" xfId="0" applyFont="1" applyFill="1" applyBorder="1" applyAlignment="1">
      <alignment horizontal="left" vertical="center"/>
    </xf>
    <xf numFmtId="0" fontId="79" fillId="0" borderId="26" xfId="45" applyFont="1" applyFill="1" applyBorder="1" applyAlignment="1">
      <alignment horizontal="center" vertical="center"/>
    </xf>
    <xf numFmtId="0" fontId="79" fillId="0" borderId="10" xfId="45" applyFont="1" applyFill="1" applyBorder="1" applyAlignment="1">
      <alignment horizontal="left" vertical="center"/>
    </xf>
    <xf numFmtId="0" fontId="46" fillId="0" borderId="26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left" vertical="center"/>
    </xf>
    <xf numFmtId="0" fontId="46" fillId="0" borderId="22" xfId="0" applyFont="1" applyFill="1" applyBorder="1" applyAlignment="1">
      <alignment horizontal="left" vertical="center"/>
    </xf>
    <xf numFmtId="0" fontId="46" fillId="0" borderId="31" xfId="0" applyFont="1" applyFill="1" applyBorder="1" applyAlignment="1">
      <alignment horizontal="center" vertical="center"/>
    </xf>
    <xf numFmtId="0" fontId="17" fillId="24" borderId="16" xfId="0" applyFont="1" applyFill="1" applyBorder="1" applyAlignment="1">
      <alignment horizontal="center" vertical="center"/>
    </xf>
    <xf numFmtId="0" fontId="17" fillId="24" borderId="17" xfId="0" applyFont="1" applyFill="1" applyBorder="1" applyAlignment="1">
      <alignment horizontal="left" vertical="center"/>
    </xf>
    <xf numFmtId="0" fontId="46" fillId="0" borderId="32" xfId="0" applyFont="1" applyFill="1" applyBorder="1" applyAlignment="1">
      <alignment horizontal="left" vertical="center"/>
    </xf>
    <xf numFmtId="0" fontId="46" fillId="0" borderId="30" xfId="0" applyFont="1" applyFill="1" applyBorder="1" applyAlignment="1">
      <alignment horizontal="center" vertical="center"/>
    </xf>
    <xf numFmtId="0" fontId="79" fillId="0" borderId="16" xfId="0" applyFont="1" applyFill="1" applyBorder="1" applyAlignment="1">
      <alignment horizontal="center" vertical="center"/>
    </xf>
    <xf numFmtId="0" fontId="79" fillId="0" borderId="17" xfId="0" applyFont="1" applyFill="1" applyBorder="1" applyAlignment="1">
      <alignment horizontal="left" vertical="center"/>
    </xf>
    <xf numFmtId="0" fontId="46" fillId="0" borderId="23" xfId="0" applyFont="1" applyFill="1" applyBorder="1" applyAlignment="1">
      <alignment vertical="center"/>
    </xf>
    <xf numFmtId="0" fontId="84" fillId="0" borderId="17" xfId="0" applyFont="1" applyFill="1" applyBorder="1" applyAlignment="1">
      <alignment horizontal="left" vertical="center"/>
    </xf>
    <xf numFmtId="0" fontId="79" fillId="0" borderId="40" xfId="0" applyFont="1" applyFill="1" applyBorder="1" applyAlignment="1">
      <alignment horizontal="left" vertical="center"/>
    </xf>
    <xf numFmtId="0" fontId="79" fillId="0" borderId="35" xfId="0" applyFont="1" applyFill="1" applyBorder="1" applyAlignment="1">
      <alignment horizontal="left" vertical="center"/>
    </xf>
    <xf numFmtId="0" fontId="46" fillId="0" borderId="17" xfId="0" applyFont="1" applyFill="1" applyBorder="1" applyAlignment="1">
      <alignment horizontal="left" vertical="center"/>
    </xf>
    <xf numFmtId="0" fontId="148" fillId="0" borderId="0" xfId="0" applyFont="1" applyFill="1" applyAlignment="1">
      <alignment horizontal="center" vertical="center"/>
    </xf>
    <xf numFmtId="0" fontId="148" fillId="0" borderId="0" xfId="0" applyFont="1" applyFill="1" applyAlignment="1">
      <alignment horizontal="center"/>
    </xf>
    <xf numFmtId="0" fontId="147" fillId="0" borderId="0" xfId="0" applyFont="1"/>
    <xf numFmtId="0" fontId="155" fillId="0" borderId="0" xfId="45" applyFont="1" applyAlignment="1">
      <alignment horizontal="center" wrapText="1"/>
    </xf>
    <xf numFmtId="0" fontId="155" fillId="0" borderId="0" xfId="45" applyFont="1" applyAlignment="1">
      <alignment horizontal="right"/>
    </xf>
    <xf numFmtId="0" fontId="147" fillId="0" borderId="0" xfId="0" applyFont="1" applyFill="1" applyAlignment="1">
      <alignment horizontal="right"/>
    </xf>
    <xf numFmtId="0" fontId="103" fillId="0" borderId="0" xfId="46" applyFont="1" applyFill="1" applyBorder="1" applyAlignment="1"/>
    <xf numFmtId="0" fontId="102" fillId="0" borderId="0" xfId="64" applyFont="1" applyBorder="1" applyAlignment="1">
      <alignment horizontal="right" vertical="center"/>
    </xf>
    <xf numFmtId="0" fontId="103" fillId="0" borderId="26" xfId="46" applyFont="1" applyFill="1" applyBorder="1" applyAlignment="1">
      <alignment vertical="center"/>
    </xf>
    <xf numFmtId="3" fontId="103" fillId="0" borderId="10" xfId="46" applyNumberFormat="1" applyFont="1" applyFill="1" applyBorder="1" applyAlignment="1">
      <alignment horizontal="center" vertical="center" wrapText="1"/>
    </xf>
    <xf numFmtId="3" fontId="103" fillId="0" borderId="14" xfId="46" applyNumberFormat="1" applyFont="1" applyFill="1" applyBorder="1" applyAlignment="1">
      <alignment horizontal="center" vertical="center" wrapText="1"/>
    </xf>
    <xf numFmtId="0" fontId="103" fillId="0" borderId="19" xfId="46" applyFont="1" applyFill="1" applyBorder="1" applyAlignment="1">
      <alignment horizontal="right" vertical="center"/>
    </xf>
    <xf numFmtId="0" fontId="102" fillId="0" borderId="26" xfId="46" applyFont="1" applyFill="1" applyBorder="1" applyAlignment="1">
      <alignment vertical="center" wrapText="1"/>
    </xf>
    <xf numFmtId="3" fontId="102" fillId="0" borderId="10" xfId="46" applyNumberFormat="1" applyFont="1" applyFill="1" applyBorder="1" applyAlignment="1">
      <alignment vertical="center"/>
    </xf>
    <xf numFmtId="3" fontId="102" fillId="0" borderId="14" xfId="46" applyNumberFormat="1" applyFont="1" applyFill="1" applyBorder="1" applyAlignment="1">
      <alignment vertical="center"/>
    </xf>
    <xf numFmtId="3" fontId="103" fillId="0" borderId="19" xfId="46" applyNumberFormat="1" applyFont="1" applyFill="1" applyBorder="1" applyAlignment="1">
      <alignment vertical="center"/>
    </xf>
    <xf numFmtId="0" fontId="102" fillId="0" borderId="26" xfId="46" applyFont="1" applyFill="1" applyBorder="1" applyAlignment="1">
      <alignment vertical="center"/>
    </xf>
    <xf numFmtId="0" fontId="103" fillId="0" borderId="34" xfId="46" applyFont="1" applyFill="1" applyBorder="1" applyAlignment="1">
      <alignment vertical="center"/>
    </xf>
    <xf numFmtId="3" fontId="103" fillId="0" borderId="35" xfId="46" applyNumberFormat="1" applyFont="1" applyFill="1" applyBorder="1" applyAlignment="1">
      <alignment vertical="center"/>
    </xf>
    <xf numFmtId="3" fontId="103" fillId="0" borderId="67" xfId="46" applyNumberFormat="1" applyFont="1" applyFill="1" applyBorder="1" applyAlignment="1">
      <alignment vertical="center"/>
    </xf>
    <xf numFmtId="0" fontId="103" fillId="0" borderId="16" xfId="46" applyFont="1" applyFill="1" applyBorder="1" applyAlignment="1">
      <alignment vertical="center"/>
    </xf>
    <xf numFmtId="3" fontId="103" fillId="0" borderId="17" xfId="46" applyNumberFormat="1" applyFont="1" applyFill="1" applyBorder="1" applyAlignment="1">
      <alignment horizontal="center" vertical="center" wrapText="1"/>
    </xf>
    <xf numFmtId="3" fontId="103" fillId="0" borderId="48" xfId="46" applyNumberFormat="1" applyFont="1" applyFill="1" applyBorder="1" applyAlignment="1">
      <alignment horizontal="center" vertical="center" wrapText="1"/>
    </xf>
    <xf numFmtId="0" fontId="103" fillId="0" borderId="21" xfId="46" applyFont="1" applyFill="1" applyBorder="1" applyAlignment="1">
      <alignment horizontal="right" vertical="center"/>
    </xf>
    <xf numFmtId="0" fontId="102" fillId="0" borderId="30" xfId="46" applyFont="1" applyFill="1" applyBorder="1" applyAlignment="1">
      <alignment vertical="center"/>
    </xf>
    <xf numFmtId="3" fontId="102" fillId="0" borderId="23" xfId="46" applyNumberFormat="1" applyFont="1" applyFill="1" applyBorder="1" applyAlignment="1">
      <alignment vertical="center"/>
    </xf>
    <xf numFmtId="3" fontId="102" fillId="0" borderId="13" xfId="46" applyNumberFormat="1" applyFont="1" applyFill="1" applyBorder="1" applyAlignment="1">
      <alignment vertical="center"/>
    </xf>
    <xf numFmtId="3" fontId="103" fillId="0" borderId="62" xfId="46" applyNumberFormat="1" applyFont="1" applyFill="1" applyBorder="1" applyAlignment="1">
      <alignment vertical="center"/>
    </xf>
    <xf numFmtId="3" fontId="102" fillId="0" borderId="32" xfId="46" applyNumberFormat="1" applyFont="1" applyFill="1" applyBorder="1" applyAlignment="1">
      <alignment vertical="center"/>
    </xf>
    <xf numFmtId="3" fontId="102" fillId="0" borderId="64" xfId="46" applyNumberFormat="1" applyFont="1" applyFill="1" applyBorder="1" applyAlignment="1">
      <alignment vertical="center"/>
    </xf>
    <xf numFmtId="3" fontId="103" fillId="0" borderId="54" xfId="46" applyNumberFormat="1" applyFont="1" applyFill="1" applyBorder="1" applyAlignment="1">
      <alignment vertical="center"/>
    </xf>
    <xf numFmtId="3" fontId="102" fillId="0" borderId="22" xfId="46" applyNumberFormat="1" applyFont="1" applyFill="1" applyBorder="1" applyAlignment="1">
      <alignment vertical="center"/>
    </xf>
    <xf numFmtId="3" fontId="102" fillId="0" borderId="39" xfId="46" applyNumberFormat="1" applyFont="1" applyFill="1" applyBorder="1" applyAlignment="1">
      <alignment vertical="center"/>
    </xf>
    <xf numFmtId="3" fontId="103" fillId="0" borderId="66" xfId="46" applyNumberFormat="1" applyFont="1" applyFill="1" applyBorder="1" applyAlignment="1">
      <alignment vertical="center"/>
    </xf>
    <xf numFmtId="3" fontId="103" fillId="0" borderId="17" xfId="46" applyNumberFormat="1" applyFont="1" applyFill="1" applyBorder="1" applyAlignment="1">
      <alignment vertical="center"/>
    </xf>
    <xf numFmtId="3" fontId="103" fillId="0" borderId="48" xfId="46" applyNumberFormat="1" applyFont="1" applyFill="1" applyBorder="1" applyAlignment="1">
      <alignment vertical="center"/>
    </xf>
    <xf numFmtId="3" fontId="103" fillId="0" borderId="21" xfId="46" applyNumberFormat="1" applyFont="1" applyFill="1" applyBorder="1" applyAlignment="1">
      <alignment vertical="center"/>
    </xf>
    <xf numFmtId="0" fontId="103" fillId="0" borderId="42" xfId="46" applyFont="1" applyFill="1" applyBorder="1" applyAlignment="1">
      <alignment vertical="center"/>
    </xf>
    <xf numFmtId="3" fontId="103" fillId="0" borderId="42" xfId="46" applyNumberFormat="1" applyFont="1" applyFill="1" applyBorder="1" applyAlignment="1">
      <alignment vertical="center"/>
    </xf>
    <xf numFmtId="0" fontId="103" fillId="0" borderId="43" xfId="46" applyFont="1" applyFill="1" applyBorder="1" applyAlignment="1">
      <alignment vertical="center"/>
    </xf>
    <xf numFmtId="3" fontId="103" fillId="0" borderId="40" xfId="46" applyNumberFormat="1" applyFont="1" applyFill="1" applyBorder="1" applyAlignment="1">
      <alignment horizontal="center" vertical="center" wrapText="1"/>
    </xf>
    <xf numFmtId="0" fontId="102" fillId="0" borderId="68" xfId="46" applyFont="1" applyBorder="1" applyAlignment="1">
      <alignment vertical="center"/>
    </xf>
    <xf numFmtId="0" fontId="103" fillId="0" borderId="20" xfId="46" applyFont="1" applyFill="1" applyBorder="1" applyAlignment="1">
      <alignment horizontal="right" vertical="center"/>
    </xf>
    <xf numFmtId="0" fontId="100" fillId="0" borderId="34" xfId="67" applyFont="1" applyBorder="1" applyAlignment="1">
      <alignment horizontal="left" vertical="center" wrapText="1"/>
    </xf>
    <xf numFmtId="3" fontId="102" fillId="0" borderId="35" xfId="46" applyNumberFormat="1" applyFont="1" applyFill="1" applyBorder="1" applyAlignment="1">
      <alignment vertical="center"/>
    </xf>
    <xf numFmtId="0" fontId="103" fillId="0" borderId="41" xfId="67" applyFont="1" applyFill="1" applyBorder="1" applyAlignment="1">
      <alignment horizontal="left"/>
    </xf>
    <xf numFmtId="3" fontId="103" fillId="0" borderId="67" xfId="67" applyNumberFormat="1" applyFont="1" applyFill="1" applyBorder="1" applyAlignment="1">
      <alignment horizontal="right"/>
    </xf>
    <xf numFmtId="3" fontId="102" fillId="0" borderId="0" xfId="46" applyNumberFormat="1" applyFont="1" applyFill="1" applyBorder="1" applyAlignment="1">
      <alignment vertical="center"/>
    </xf>
    <xf numFmtId="0" fontId="103" fillId="0" borderId="0" xfId="67" applyFont="1" applyFill="1" applyBorder="1" applyAlignment="1">
      <alignment horizontal="left" wrapText="1"/>
    </xf>
    <xf numFmtId="0" fontId="100" fillId="0" borderId="63" xfId="67" applyFont="1" applyBorder="1" applyAlignment="1">
      <alignment horizontal="left" vertical="center" wrapText="1"/>
    </xf>
    <xf numFmtId="3" fontId="100" fillId="0" borderId="41" xfId="67" applyNumberFormat="1" applyFont="1" applyBorder="1" applyAlignment="1">
      <alignment horizontal="right" vertical="center" wrapText="1"/>
    </xf>
    <xf numFmtId="0" fontId="100" fillId="0" borderId="41" xfId="67" applyFont="1" applyBorder="1" applyAlignment="1">
      <alignment horizontal="left" vertical="center" wrapText="1"/>
    </xf>
    <xf numFmtId="3" fontId="100" fillId="0" borderId="67" xfId="67" applyNumberFormat="1" applyFont="1" applyBorder="1" applyAlignment="1">
      <alignment horizontal="right" vertical="center" wrapText="1"/>
    </xf>
    <xf numFmtId="0" fontId="100" fillId="0" borderId="0" xfId="67" applyFont="1" applyBorder="1" applyAlignment="1">
      <alignment horizontal="left" vertical="center" wrapText="1"/>
    </xf>
    <xf numFmtId="3" fontId="103" fillId="0" borderId="0" xfId="46" applyNumberFormat="1" applyFont="1" applyFill="1" applyBorder="1"/>
    <xf numFmtId="0" fontId="103" fillId="0" borderId="0" xfId="46" applyFont="1" applyFill="1" applyBorder="1"/>
    <xf numFmtId="0" fontId="46" fillId="0" borderId="0" xfId="76" applyFont="1" applyAlignment="1">
      <alignment horizontal="right"/>
    </xf>
    <xf numFmtId="0" fontId="46" fillId="0" borderId="13" xfId="0" applyFont="1" applyFill="1" applyBorder="1" applyAlignment="1">
      <alignment vertical="center" wrapText="1"/>
    </xf>
    <xf numFmtId="0" fontId="46" fillId="0" borderId="14" xfId="0" applyFont="1" applyFill="1" applyBorder="1" applyAlignment="1">
      <alignment vertical="center"/>
    </xf>
    <xf numFmtId="0" fontId="94" fillId="26" borderId="14" xfId="0" applyFont="1" applyFill="1" applyBorder="1"/>
    <xf numFmtId="3" fontId="17" fillId="0" borderId="43" xfId="79" applyNumberFormat="1" applyFont="1" applyFill="1" applyBorder="1" applyAlignment="1">
      <alignment horizontal="right"/>
    </xf>
    <xf numFmtId="3" fontId="17" fillId="0" borderId="47" xfId="79" applyNumberFormat="1" applyFont="1" applyFill="1" applyBorder="1" applyAlignment="1">
      <alignment horizontal="right"/>
    </xf>
    <xf numFmtId="0" fontId="46" fillId="0" borderId="0" xfId="76" applyFont="1" applyFill="1" applyAlignment="1">
      <alignment horizontal="right"/>
    </xf>
    <xf numFmtId="3" fontId="17" fillId="29" borderId="48" xfId="30" applyNumberFormat="1" applyFont="1" applyFill="1" applyBorder="1" applyAlignment="1">
      <alignment horizontal="right" vertical="center"/>
    </xf>
    <xf numFmtId="3" fontId="17" fillId="24" borderId="48" xfId="30" applyNumberFormat="1" applyFont="1" applyFill="1" applyBorder="1" applyAlignment="1">
      <alignment horizontal="right" vertical="center"/>
    </xf>
    <xf numFmtId="3" fontId="148" fillId="24" borderId="21" xfId="0" applyNumberFormat="1" applyFont="1" applyFill="1" applyBorder="1" applyAlignment="1">
      <alignment horizontal="right" vertical="center"/>
    </xf>
    <xf numFmtId="0" fontId="55" fillId="36" borderId="0" xfId="0" applyFont="1" applyFill="1"/>
    <xf numFmtId="3" fontId="55" fillId="36" borderId="0" xfId="0" applyNumberFormat="1" applyFont="1" applyFill="1"/>
    <xf numFmtId="0" fontId="46" fillId="0" borderId="10" xfId="45" applyFont="1" applyFill="1" applyBorder="1" applyAlignment="1">
      <alignment horizontal="left" vertical="center"/>
    </xf>
    <xf numFmtId="0" fontId="46" fillId="0" borderId="32" xfId="45" applyFont="1" applyFill="1" applyBorder="1" applyAlignment="1">
      <alignment horizontal="left" vertical="center"/>
    </xf>
    <xf numFmtId="0" fontId="46" fillId="0" borderId="0" xfId="45" applyFont="1" applyFill="1" applyBorder="1" applyAlignment="1">
      <alignment horizontal="left" vertical="center"/>
    </xf>
    <xf numFmtId="0" fontId="46" fillId="0" borderId="0" xfId="45" applyFont="1" applyFill="1" applyBorder="1" applyAlignment="1">
      <alignment horizontal="left" vertical="center" wrapText="1"/>
    </xf>
    <xf numFmtId="3" fontId="102" fillId="0" borderId="33" xfId="45" applyNumberFormat="1" applyFont="1" applyFill="1" applyBorder="1" applyAlignment="1">
      <alignment vertical="center"/>
    </xf>
    <xf numFmtId="0" fontId="9" fillId="0" borderId="0" xfId="81" applyFont="1" applyFill="1" applyAlignment="1">
      <alignment horizontal="left" vertical="center"/>
    </xf>
    <xf numFmtId="0" fontId="9" fillId="25" borderId="0" xfId="81" applyFont="1" applyFill="1" applyAlignment="1">
      <alignment horizontal="left" vertical="center"/>
    </xf>
    <xf numFmtId="0" fontId="14" fillId="0" borderId="0" xfId="81" applyFont="1" applyFill="1" applyAlignment="1">
      <alignment vertical="center"/>
    </xf>
    <xf numFmtId="3" fontId="51" fillId="0" borderId="0" xfId="81" applyNumberFormat="1" applyFont="1" applyFill="1" applyAlignment="1">
      <alignment vertical="center"/>
    </xf>
    <xf numFmtId="0" fontId="14" fillId="0" borderId="0" xfId="81" applyFont="1" applyFill="1" applyBorder="1" applyAlignment="1">
      <alignment vertical="center"/>
    </xf>
    <xf numFmtId="3" fontId="14" fillId="0" borderId="0" xfId="81" applyNumberFormat="1" applyFont="1" applyFill="1" applyBorder="1" applyAlignment="1">
      <alignment vertical="center"/>
    </xf>
    <xf numFmtId="0" fontId="46" fillId="0" borderId="0" xfId="0" applyFont="1" applyAlignment="1">
      <alignment vertical="center"/>
    </xf>
    <xf numFmtId="3" fontId="124" fillId="29" borderId="27" xfId="0" applyNumberFormat="1" applyFont="1" applyFill="1" applyBorder="1" applyAlignment="1">
      <alignment horizontal="right" vertical="center"/>
    </xf>
    <xf numFmtId="3" fontId="156" fillId="25" borderId="0" xfId="0" applyNumberFormat="1" applyFont="1" applyFill="1"/>
    <xf numFmtId="3" fontId="10" fillId="0" borderId="0" xfId="76" applyNumberFormat="1" applyFont="1" applyAlignment="1"/>
    <xf numFmtId="3" fontId="12" fillId="0" borderId="0" xfId="0" applyNumberFormat="1" applyFont="1"/>
    <xf numFmtId="0" fontId="97" fillId="25" borderId="0" xfId="0" applyFont="1" applyFill="1"/>
    <xf numFmtId="0" fontId="52" fillId="29" borderId="26" xfId="67" applyFont="1" applyFill="1" applyBorder="1" applyAlignment="1">
      <alignment horizontal="center" vertical="center" wrapText="1"/>
    </xf>
    <xf numFmtId="0" fontId="52" fillId="24" borderId="16" xfId="67" applyFont="1" applyFill="1" applyBorder="1" applyAlignment="1">
      <alignment horizontal="center" vertical="center" wrapText="1"/>
    </xf>
    <xf numFmtId="3" fontId="18" fillId="0" borderId="10" xfId="54" applyNumberFormat="1" applyFont="1" applyFill="1" applyBorder="1" applyAlignment="1">
      <alignment vertical="center"/>
    </xf>
    <xf numFmtId="3" fontId="18" fillId="0" borderId="14" xfId="54" applyNumberFormat="1" applyFont="1" applyBorder="1" applyAlignment="1">
      <alignment vertical="center"/>
    </xf>
    <xf numFmtId="3" fontId="18" fillId="0" borderId="27" xfId="54" applyNumberFormat="1" applyFont="1" applyBorder="1" applyAlignment="1">
      <alignment vertical="center"/>
    </xf>
    <xf numFmtId="3" fontId="45" fillId="0" borderId="23" xfId="54" applyNumberFormat="1" applyFont="1" applyBorder="1" applyAlignment="1">
      <alignment vertical="center"/>
    </xf>
    <xf numFmtId="3" fontId="45" fillId="0" borderId="29" xfId="54" applyNumberFormat="1" applyFont="1" applyBorder="1" applyAlignment="1">
      <alignment vertical="center"/>
    </xf>
    <xf numFmtId="0" fontId="109" fillId="0" borderId="0" xfId="54" applyAlignment="1">
      <alignment vertical="center"/>
    </xf>
    <xf numFmtId="3" fontId="45" fillId="0" borderId="10" xfId="54" applyNumberFormat="1" applyFont="1" applyBorder="1" applyAlignment="1">
      <alignment vertical="center"/>
    </xf>
    <xf numFmtId="3" fontId="45" fillId="0" borderId="10" xfId="54" applyNumberFormat="1" applyFont="1" applyFill="1" applyBorder="1" applyAlignment="1">
      <alignment vertical="center"/>
    </xf>
    <xf numFmtId="3" fontId="45" fillId="0" borderId="27" xfId="54" applyNumberFormat="1" applyFont="1" applyFill="1" applyBorder="1" applyAlignment="1">
      <alignment vertical="center"/>
    </xf>
    <xf numFmtId="3" fontId="18" fillId="0" borderId="14" xfId="54" applyNumberFormat="1" applyFont="1" applyFill="1" applyBorder="1" applyAlignment="1">
      <alignment vertical="center"/>
    </xf>
    <xf numFmtId="3" fontId="18" fillId="0" borderId="27" xfId="54" applyNumberFormat="1" applyFont="1" applyFill="1" applyBorder="1" applyAlignment="1">
      <alignment vertical="center"/>
    </xf>
    <xf numFmtId="3" fontId="18" fillId="0" borderId="10" xfId="54" applyNumberFormat="1" applyFont="1" applyBorder="1" applyAlignment="1">
      <alignment vertical="center"/>
    </xf>
    <xf numFmtId="3" fontId="45" fillId="0" borderId="14" xfId="54" applyNumberFormat="1" applyFont="1" applyBorder="1" applyAlignment="1">
      <alignment vertical="center"/>
    </xf>
    <xf numFmtId="3" fontId="45" fillId="0" borderId="27" xfId="54" applyNumberFormat="1" applyFont="1" applyBorder="1" applyAlignment="1">
      <alignment vertical="center"/>
    </xf>
    <xf numFmtId="0" fontId="93" fillId="26" borderId="37" xfId="54" applyFont="1" applyFill="1" applyBorder="1" applyAlignment="1">
      <alignment vertical="center"/>
    </xf>
    <xf numFmtId="3" fontId="59" fillId="26" borderId="10" xfId="54" applyNumberFormat="1" applyFont="1" applyFill="1" applyBorder="1" applyAlignment="1">
      <alignment vertical="center"/>
    </xf>
    <xf numFmtId="3" fontId="59" fillId="26" borderId="27" xfId="54" applyNumberFormat="1" applyFont="1" applyFill="1" applyBorder="1" applyAlignment="1">
      <alignment vertical="center"/>
    </xf>
    <xf numFmtId="0" fontId="93" fillId="26" borderId="26" xfId="54" applyFont="1" applyFill="1" applyBorder="1" applyAlignment="1">
      <alignment vertical="center"/>
    </xf>
    <xf numFmtId="3" fontId="18" fillId="0" borderId="14" xfId="54" applyNumberFormat="1" applyFont="1" applyBorder="1" applyAlignment="1">
      <alignment horizontal="right" vertical="center"/>
    </xf>
    <xf numFmtId="3" fontId="18" fillId="0" borderId="27" xfId="54" applyNumberFormat="1" applyFont="1" applyBorder="1" applyAlignment="1">
      <alignment horizontal="right" vertical="center"/>
    </xf>
    <xf numFmtId="3" fontId="45" fillId="24" borderId="10" xfId="54" applyNumberFormat="1" applyFont="1" applyFill="1" applyBorder="1" applyAlignment="1">
      <alignment vertical="center"/>
    </xf>
    <xf numFmtId="3" fontId="45" fillId="24" borderId="27" xfId="54" applyNumberFormat="1" applyFont="1" applyFill="1" applyBorder="1" applyAlignment="1">
      <alignment vertical="center"/>
    </xf>
    <xf numFmtId="3" fontId="18" fillId="0" borderId="10" xfId="54" applyNumberFormat="1" applyFont="1" applyBorder="1" applyAlignment="1">
      <alignment horizontal="right" vertical="center"/>
    </xf>
    <xf numFmtId="0" fontId="45" fillId="27" borderId="61" xfId="54" applyFont="1" applyFill="1" applyBorder="1" applyAlignment="1">
      <alignment vertical="center"/>
    </xf>
    <xf numFmtId="0" fontId="18" fillId="27" borderId="35" xfId="54" applyFont="1" applyFill="1" applyBorder="1" applyAlignment="1">
      <alignment vertical="center"/>
    </xf>
    <xf numFmtId="0" fontId="18" fillId="0" borderId="0" xfId="54" applyFont="1" applyAlignment="1">
      <alignment vertical="center"/>
    </xf>
    <xf numFmtId="0" fontId="18" fillId="0" borderId="0" xfId="54" applyFont="1" applyBorder="1" applyAlignment="1">
      <alignment vertical="center"/>
    </xf>
    <xf numFmtId="0" fontId="45" fillId="27" borderId="34" xfId="54" applyFont="1" applyFill="1" applyBorder="1" applyAlignment="1">
      <alignment vertical="center"/>
    </xf>
    <xf numFmtId="3" fontId="59" fillId="27" borderId="35" xfId="54" applyNumberFormat="1" applyFont="1" applyFill="1" applyBorder="1" applyAlignment="1">
      <alignment vertical="center"/>
    </xf>
    <xf numFmtId="3" fontId="59" fillId="27" borderId="36" xfId="54" applyNumberFormat="1" applyFont="1" applyFill="1" applyBorder="1" applyAlignment="1">
      <alignment vertical="center"/>
    </xf>
    <xf numFmtId="3" fontId="102" fillId="0" borderId="41" xfId="46" applyNumberFormat="1" applyFont="1" applyFill="1" applyBorder="1" applyAlignment="1">
      <alignment vertical="center"/>
    </xf>
    <xf numFmtId="0" fontId="100" fillId="0" borderId="26" xfId="45" applyFont="1" applyFill="1" applyBorder="1" applyAlignment="1">
      <alignment vertical="center"/>
    </xf>
    <xf numFmtId="170" fontId="46" fillId="0" borderId="10" xfId="70" applyNumberFormat="1" applyFont="1" applyBorder="1"/>
    <xf numFmtId="3" fontId="46" fillId="0" borderId="37" xfId="45" applyNumberFormat="1" applyFont="1" applyFill="1" applyBorder="1"/>
    <xf numFmtId="3" fontId="46" fillId="0" borderId="14" xfId="45" applyNumberFormat="1" applyFont="1" applyFill="1" applyBorder="1"/>
    <xf numFmtId="3" fontId="18" fillId="0" borderId="0" xfId="45" applyNumberFormat="1" applyFont="1" applyFill="1"/>
    <xf numFmtId="0" fontId="18" fillId="0" borderId="0" xfId="45" applyFont="1" applyFill="1"/>
    <xf numFmtId="3" fontId="18" fillId="0" borderId="0" xfId="0" applyNumberFormat="1" applyFont="1" applyFill="1"/>
    <xf numFmtId="3" fontId="46" fillId="0" borderId="47" xfId="0" applyNumberFormat="1" applyFont="1" applyFill="1" applyBorder="1" applyAlignment="1">
      <alignment horizontal="right"/>
    </xf>
    <xf numFmtId="3" fontId="46" fillId="0" borderId="25" xfId="0" applyNumberFormat="1" applyFont="1" applyFill="1" applyBorder="1" applyAlignment="1">
      <alignment horizontal="right"/>
    </xf>
    <xf numFmtId="3" fontId="46" fillId="0" borderId="29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7" fillId="0" borderId="40" xfId="49" applyFont="1" applyFill="1" applyBorder="1" applyAlignment="1">
      <alignment horizontal="center" vertical="center" wrapText="1"/>
    </xf>
    <xf numFmtId="0" fontId="17" fillId="0" borderId="53" xfId="49" applyFont="1" applyFill="1" applyBorder="1" applyAlignment="1">
      <alignment horizontal="center" vertical="center" wrapText="1"/>
    </xf>
    <xf numFmtId="0" fontId="17" fillId="0" borderId="43" xfId="49" applyFont="1" applyFill="1" applyBorder="1" applyAlignment="1">
      <alignment horizontal="center" vertical="center" wrapText="1"/>
    </xf>
    <xf numFmtId="0" fontId="17" fillId="0" borderId="47" xfId="49" applyFont="1" applyFill="1" applyBorder="1" applyAlignment="1">
      <alignment horizontal="center" vertical="center" wrapText="1"/>
    </xf>
    <xf numFmtId="0" fontId="17" fillId="0" borderId="51" xfId="49" applyFont="1" applyFill="1" applyBorder="1" applyAlignment="1">
      <alignment horizontal="center" vertical="center" wrapText="1"/>
    </xf>
    <xf numFmtId="0" fontId="16" fillId="0" borderId="0" xfId="49" applyFont="1" applyFill="1" applyAlignment="1">
      <alignment vertical="center"/>
    </xf>
    <xf numFmtId="0" fontId="13" fillId="0" borderId="0" xfId="45" applyFont="1" applyFill="1" applyBorder="1" applyAlignment="1">
      <alignment horizontal="center" wrapText="1"/>
    </xf>
    <xf numFmtId="0" fontId="13" fillId="0" borderId="0" xfId="45" applyFont="1" applyFill="1"/>
    <xf numFmtId="3" fontId="13" fillId="0" borderId="0" xfId="45" applyNumberFormat="1" applyFont="1" applyFill="1"/>
    <xf numFmtId="0" fontId="115" fillId="0" borderId="0" xfId="0" applyFont="1" applyFill="1"/>
    <xf numFmtId="3" fontId="134" fillId="0" borderId="15" xfId="45" applyNumberFormat="1" applyFont="1" applyFill="1" applyBorder="1"/>
    <xf numFmtId="3" fontId="61" fillId="0" borderId="0" xfId="45" applyNumberFormat="1" applyFont="1" applyFill="1"/>
    <xf numFmtId="0" fontId="16" fillId="0" borderId="0" xfId="0" applyFont="1" applyFill="1"/>
    <xf numFmtId="0" fontId="61" fillId="0" borderId="0" xfId="45" applyFont="1" applyFill="1"/>
    <xf numFmtId="0" fontId="47" fillId="0" borderId="0" xfId="45" applyFont="1" applyFill="1"/>
    <xf numFmtId="3" fontId="15" fillId="0" borderId="0" xfId="45" applyNumberFormat="1" applyFont="1" applyFill="1"/>
    <xf numFmtId="0" fontId="15" fillId="0" borderId="0" xfId="45" applyFont="1" applyFill="1"/>
    <xf numFmtId="0" fontId="15" fillId="0" borderId="0" xfId="45" applyFont="1" applyFill="1" applyAlignment="1">
      <alignment vertical="center"/>
    </xf>
    <xf numFmtId="0" fontId="0" fillId="0" borderId="0" xfId="0" applyFill="1"/>
    <xf numFmtId="3" fontId="47" fillId="0" borderId="0" xfId="45" applyNumberFormat="1" applyFont="1" applyFill="1"/>
    <xf numFmtId="0" fontId="46" fillId="0" borderId="23" xfId="45" applyFont="1" applyFill="1" applyBorder="1" applyAlignment="1">
      <alignment vertical="center"/>
    </xf>
    <xf numFmtId="3" fontId="47" fillId="0" borderId="0" xfId="45" applyNumberFormat="1" applyFont="1" applyFill="1" applyAlignment="1">
      <alignment vertical="center"/>
    </xf>
    <xf numFmtId="0" fontId="47" fillId="0" borderId="0" xfId="45" applyFont="1" applyFill="1" applyAlignment="1">
      <alignment vertical="center"/>
    </xf>
    <xf numFmtId="3" fontId="15" fillId="0" borderId="0" xfId="45" applyNumberFormat="1" applyFont="1" applyFill="1" applyAlignment="1">
      <alignment vertical="center"/>
    </xf>
    <xf numFmtId="0" fontId="13" fillId="0" borderId="0" xfId="45" applyFont="1" applyFill="1" applyAlignment="1">
      <alignment vertical="center"/>
    </xf>
    <xf numFmtId="0" fontId="46" fillId="0" borderId="32" xfId="45" applyFont="1" applyFill="1" applyBorder="1" applyAlignment="1">
      <alignment vertical="center"/>
    </xf>
    <xf numFmtId="0" fontId="13" fillId="0" borderId="25" xfId="0" applyFont="1" applyFill="1" applyBorder="1" applyAlignment="1">
      <alignment horizontal="center"/>
    </xf>
    <xf numFmtId="3" fontId="62" fillId="0" borderId="23" xfId="0" applyNumberFormat="1" applyFont="1" applyFill="1" applyBorder="1" applyAlignment="1">
      <alignment horizontal="right"/>
    </xf>
    <xf numFmtId="0" fontId="13" fillId="0" borderId="26" xfId="0" applyFont="1" applyFill="1" applyBorder="1" applyAlignment="1">
      <alignment horizontal="center"/>
    </xf>
    <xf numFmtId="3" fontId="62" fillId="0" borderId="23" xfId="0" applyNumberFormat="1" applyFont="1" applyFill="1" applyBorder="1" applyAlignment="1">
      <alignment horizontal="right" vertical="center"/>
    </xf>
    <xf numFmtId="3" fontId="62" fillId="0" borderId="62" xfId="0" applyNumberFormat="1" applyFont="1" applyFill="1" applyBorder="1" applyAlignment="1">
      <alignment horizontal="right"/>
    </xf>
    <xf numFmtId="0" fontId="16" fillId="0" borderId="26" xfId="0" applyFont="1" applyFill="1" applyBorder="1" applyAlignment="1">
      <alignment horizontal="center"/>
    </xf>
    <xf numFmtId="3" fontId="52" fillId="0" borderId="10" xfId="0" applyNumberFormat="1" applyFont="1" applyFill="1" applyBorder="1" applyAlignment="1">
      <alignment horizontal="right"/>
    </xf>
    <xf numFmtId="3" fontId="52" fillId="0" borderId="27" xfId="0" applyNumberFormat="1" applyFont="1" applyFill="1" applyBorder="1" applyAlignment="1">
      <alignment horizontal="right"/>
    </xf>
    <xf numFmtId="0" fontId="0" fillId="0" borderId="0" xfId="0" applyFill="1" applyAlignment="1"/>
    <xf numFmtId="0" fontId="140" fillId="0" borderId="0" xfId="0" applyFont="1" applyFill="1" applyAlignment="1"/>
    <xf numFmtId="0" fontId="87" fillId="0" borderId="0" xfId="0" applyFont="1" applyFill="1"/>
    <xf numFmtId="0" fontId="45" fillId="0" borderId="0" xfId="0" applyFont="1" applyFill="1" applyAlignment="1">
      <alignment horizontal="center"/>
    </xf>
    <xf numFmtId="0" fontId="87" fillId="0" borderId="0" xfId="45" applyFont="1" applyFill="1" applyAlignment="1">
      <alignment horizontal="center" wrapText="1"/>
    </xf>
    <xf numFmtId="0" fontId="18" fillId="0" borderId="0" xfId="45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0" fontId="64" fillId="0" borderId="0" xfId="0" applyFont="1" applyFill="1" applyAlignment="1"/>
    <xf numFmtId="0" fontId="87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87" fillId="0" borderId="0" xfId="0" applyFont="1" applyFill="1" applyAlignment="1">
      <alignment horizontal="right"/>
    </xf>
    <xf numFmtId="0" fontId="16" fillId="0" borderId="0" xfId="45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3" fontId="13" fillId="0" borderId="0" xfId="0" applyNumberFormat="1" applyFont="1" applyFill="1"/>
    <xf numFmtId="0" fontId="56" fillId="0" borderId="46" xfId="45" applyFont="1" applyFill="1" applyBorder="1" applyAlignment="1">
      <alignment horizontal="center" vertical="center" wrapText="1"/>
    </xf>
    <xf numFmtId="0" fontId="56" fillId="0" borderId="55" xfId="45" applyFont="1" applyFill="1" applyBorder="1" applyAlignment="1">
      <alignment horizontal="center" vertical="center" wrapText="1"/>
    </xf>
    <xf numFmtId="169" fontId="16" fillId="0" borderId="0" xfId="67" applyNumberFormat="1" applyFont="1" applyFill="1" applyBorder="1" applyAlignment="1">
      <alignment horizontal="center" vertical="center" wrapText="1"/>
    </xf>
    <xf numFmtId="0" fontId="13" fillId="0" borderId="10" xfId="67" applyFont="1" applyFill="1" applyBorder="1" applyAlignment="1">
      <alignment vertical="center" wrapText="1"/>
    </xf>
    <xf numFmtId="0" fontId="15" fillId="0" borderId="0" xfId="0" applyFont="1" applyFill="1"/>
    <xf numFmtId="0" fontId="15" fillId="0" borderId="22" xfId="67" applyFont="1" applyFill="1" applyBorder="1" applyAlignment="1">
      <alignment vertical="center" wrapText="1"/>
    </xf>
    <xf numFmtId="3" fontId="15" fillId="0" borderId="0" xfId="0" applyNumberFormat="1" applyFont="1" applyFill="1"/>
    <xf numFmtId="0" fontId="14" fillId="0" borderId="23" xfId="67" applyFont="1" applyFill="1" applyBorder="1" applyAlignment="1">
      <alignment vertical="center" wrapText="1"/>
    </xf>
    <xf numFmtId="0" fontId="13" fillId="0" borderId="23" xfId="67" applyFont="1" applyFill="1" applyBorder="1" applyAlignment="1">
      <alignment vertical="center" wrapText="1"/>
    </xf>
    <xf numFmtId="0" fontId="151" fillId="0" borderId="26" xfId="0" applyFont="1" applyFill="1" applyBorder="1" applyAlignment="1">
      <alignment horizontal="center" vertical="center"/>
    </xf>
    <xf numFmtId="0" fontId="125" fillId="0" borderId="0" xfId="0" applyFont="1" applyFill="1" applyAlignment="1">
      <alignment horizontal="center" vertical="center"/>
    </xf>
    <xf numFmtId="0" fontId="102" fillId="0" borderId="0" xfId="0" applyFont="1" applyFill="1"/>
    <xf numFmtId="166" fontId="151" fillId="0" borderId="14" xfId="0" applyNumberFormat="1" applyFont="1" applyFill="1" applyBorder="1" applyAlignment="1">
      <alignment horizontal="left" vertical="center"/>
    </xf>
    <xf numFmtId="0" fontId="46" fillId="0" borderId="0" xfId="0" applyFont="1" applyFill="1" applyAlignment="1">
      <alignment vertical="center"/>
    </xf>
    <xf numFmtId="3" fontId="46" fillId="0" borderId="0" xfId="0" applyNumberFormat="1" applyFont="1" applyFill="1" applyAlignment="1">
      <alignment vertical="center"/>
    </xf>
    <xf numFmtId="166" fontId="102" fillId="0" borderId="14" xfId="0" applyNumberFormat="1" applyFont="1" applyFill="1" applyBorder="1" applyAlignment="1">
      <alignment vertical="center" wrapText="1"/>
    </xf>
    <xf numFmtId="3" fontId="123" fillId="0" borderId="27" xfId="0" applyNumberFormat="1" applyFont="1" applyFill="1" applyBorder="1" applyAlignment="1">
      <alignment vertical="center"/>
    </xf>
    <xf numFmtId="0" fontId="103" fillId="0" borderId="10" xfId="46" applyFont="1" applyFill="1" applyBorder="1" applyAlignment="1">
      <alignment vertical="center"/>
    </xf>
    <xf numFmtId="0" fontId="102" fillId="0" borderId="10" xfId="46" applyFont="1" applyFill="1" applyBorder="1" applyAlignment="1">
      <alignment vertical="center"/>
    </xf>
    <xf numFmtId="2" fontId="102" fillId="0" borderId="10" xfId="46" applyNumberFormat="1" applyFont="1" applyFill="1" applyBorder="1" applyAlignment="1">
      <alignment vertical="center"/>
    </xf>
    <xf numFmtId="2" fontId="102" fillId="0" borderId="10" xfId="46" applyNumberFormat="1" applyFont="1" applyFill="1" applyBorder="1" applyAlignment="1">
      <alignment vertical="center" wrapText="1"/>
    </xf>
    <xf numFmtId="0" fontId="14" fillId="0" borderId="0" xfId="58" applyFont="1" applyFill="1" applyBorder="1"/>
    <xf numFmtId="0" fontId="48" fillId="0" borderId="0" xfId="58" applyFont="1" applyFill="1" applyBorder="1"/>
    <xf numFmtId="0" fontId="7" fillId="0" borderId="0" xfId="58" applyFont="1" applyFill="1" applyBorder="1"/>
    <xf numFmtId="0" fontId="102" fillId="0" borderId="10" xfId="46" applyFont="1" applyFill="1" applyBorder="1" applyAlignment="1">
      <alignment vertical="center" wrapText="1"/>
    </xf>
    <xf numFmtId="0" fontId="14" fillId="0" borderId="0" xfId="58" applyFont="1" applyFill="1" applyBorder="1" applyAlignment="1">
      <alignment vertical="center"/>
    </xf>
    <xf numFmtId="0" fontId="48" fillId="0" borderId="0" xfId="58" applyFont="1" applyFill="1" applyBorder="1" applyAlignment="1">
      <alignment vertical="center"/>
    </xf>
    <xf numFmtId="0" fontId="7" fillId="0" borderId="0" xfId="58" applyFont="1" applyFill="1" applyBorder="1" applyAlignment="1">
      <alignment vertical="center"/>
    </xf>
    <xf numFmtId="2" fontId="103" fillId="0" borderId="10" xfId="46" applyNumberFormat="1" applyFont="1" applyFill="1" applyBorder="1" applyAlignment="1">
      <alignment vertical="center"/>
    </xf>
    <xf numFmtId="1" fontId="48" fillId="0" borderId="0" xfId="58" applyNumberFormat="1" applyFont="1" applyFill="1" applyBorder="1" applyAlignment="1">
      <alignment vertical="center"/>
    </xf>
    <xf numFmtId="0" fontId="46" fillId="0" borderId="0" xfId="46" applyFont="1" applyFill="1" applyAlignment="1">
      <alignment wrapText="1"/>
    </xf>
    <xf numFmtId="0" fontId="62" fillId="0" borderId="0" xfId="46" applyFont="1" applyFill="1" applyAlignment="1">
      <alignment wrapText="1"/>
    </xf>
    <xf numFmtId="1" fontId="48" fillId="0" borderId="0" xfId="58" applyNumberFormat="1" applyFont="1" applyFill="1" applyBorder="1"/>
    <xf numFmtId="0" fontId="52" fillId="0" borderId="10" xfId="46" applyFont="1" applyFill="1" applyBorder="1" applyAlignment="1">
      <alignment horizontal="center" vertical="center" wrapText="1" shrinkToFit="1"/>
    </xf>
    <xf numFmtId="0" fontId="65" fillId="0" borderId="0" xfId="58" applyFont="1" applyFill="1" applyBorder="1"/>
    <xf numFmtId="0" fontId="65" fillId="0" borderId="0" xfId="58" applyFont="1" applyFill="1" applyBorder="1" applyAlignment="1">
      <alignment vertical="center"/>
    </xf>
    <xf numFmtId="0" fontId="102" fillId="0" borderId="10" xfId="46" applyFont="1" applyFill="1" applyBorder="1" applyAlignment="1">
      <alignment horizontal="right" vertical="center" wrapText="1"/>
    </xf>
    <xf numFmtId="0" fontId="9" fillId="0" borderId="0" xfId="58" applyFont="1" applyFill="1" applyBorder="1" applyAlignment="1">
      <alignment vertical="center"/>
    </xf>
    <xf numFmtId="0" fontId="102" fillId="0" borderId="10" xfId="46" applyFont="1" applyFill="1" applyBorder="1" applyAlignment="1">
      <alignment horizontal="left" vertical="center"/>
    </xf>
    <xf numFmtId="0" fontId="103" fillId="0" borderId="10" xfId="46" applyFont="1" applyFill="1" applyBorder="1" applyAlignment="1">
      <alignment horizontal="left" vertical="center"/>
    </xf>
    <xf numFmtId="2" fontId="103" fillId="0" borderId="10" xfId="46" applyNumberFormat="1" applyFont="1" applyFill="1" applyBorder="1" applyAlignment="1">
      <alignment vertical="center" wrapText="1"/>
    </xf>
    <xf numFmtId="0" fontId="102" fillId="0" borderId="0" xfId="46" applyFont="1" applyFill="1" applyAlignment="1">
      <alignment wrapText="1"/>
    </xf>
    <xf numFmtId="2" fontId="103" fillId="0" borderId="10" xfId="46" applyNumberFormat="1" applyFont="1" applyFill="1" applyBorder="1" applyAlignment="1">
      <alignment horizontal="right" vertical="center"/>
    </xf>
    <xf numFmtId="0" fontId="62" fillId="0" borderId="0" xfId="46" applyFont="1" applyFill="1" applyAlignment="1">
      <alignment horizontal="right" vertical="center"/>
    </xf>
    <xf numFmtId="0" fontId="9" fillId="0" borderId="0" xfId="58" applyFont="1" applyFill="1" applyBorder="1" applyAlignment="1">
      <alignment horizontal="right" vertical="center"/>
    </xf>
    <xf numFmtId="0" fontId="48" fillId="0" borderId="0" xfId="58" applyFont="1" applyFill="1" applyBorder="1" applyAlignment="1">
      <alignment horizontal="right" vertical="center"/>
    </xf>
    <xf numFmtId="0" fontId="62" fillId="0" borderId="0" xfId="58" applyFont="1" applyFill="1" applyBorder="1"/>
    <xf numFmtId="0" fontId="52" fillId="0" borderId="0" xfId="71" applyFont="1" applyFill="1" applyBorder="1" applyAlignment="1">
      <alignment horizontal="center"/>
    </xf>
    <xf numFmtId="0" fontId="62" fillId="0" borderId="0" xfId="58" applyFont="1" applyFill="1" applyBorder="1" applyAlignment="1">
      <alignment vertical="center"/>
    </xf>
    <xf numFmtId="0" fontId="17" fillId="0" borderId="16" xfId="46" applyFont="1" applyFill="1" applyBorder="1" applyAlignment="1">
      <alignment horizontal="center" vertical="center" wrapText="1"/>
    </xf>
    <xf numFmtId="0" fontId="109" fillId="0" borderId="0" xfId="54" applyFill="1"/>
    <xf numFmtId="174" fontId="17" fillId="0" borderId="17" xfId="55" applyNumberFormat="1" applyFont="1" applyBorder="1"/>
    <xf numFmtId="3" fontId="52" fillId="0" borderId="17" xfId="46" applyNumberFormat="1" applyFont="1" applyFill="1" applyBorder="1" applyAlignment="1">
      <alignment horizontal="center" vertical="center" wrapText="1"/>
    </xf>
    <xf numFmtId="0" fontId="101" fillId="0" borderId="0" xfId="0" applyFont="1" applyFill="1"/>
    <xf numFmtId="0" fontId="87" fillId="0" borderId="25" xfId="46" applyFont="1" applyFill="1" applyBorder="1" applyAlignment="1">
      <alignment vertical="center" wrapText="1"/>
    </xf>
    <xf numFmtId="0" fontId="52" fillId="0" borderId="23" xfId="46" applyFont="1" applyFill="1" applyBorder="1" applyAlignment="1">
      <alignment horizontal="center" vertical="center" wrapText="1"/>
    </xf>
    <xf numFmtId="3" fontId="52" fillId="0" borderId="23" xfId="46" applyNumberFormat="1" applyFont="1" applyFill="1" applyBorder="1" applyAlignment="1">
      <alignment horizontal="center" vertical="center" wrapText="1"/>
    </xf>
    <xf numFmtId="0" fontId="62" fillId="0" borderId="28" xfId="46" applyNumberFormat="1" applyFont="1" applyFill="1" applyBorder="1" applyAlignment="1">
      <alignment horizontal="justify" vertical="center"/>
    </xf>
    <xf numFmtId="0" fontId="62" fillId="0" borderId="27" xfId="46" applyNumberFormat="1" applyFont="1" applyFill="1" applyBorder="1" applyAlignment="1">
      <alignment horizontal="justify" vertical="center"/>
    </xf>
    <xf numFmtId="0" fontId="52" fillId="0" borderId="30" xfId="46" applyFont="1" applyFill="1" applyBorder="1" applyAlignment="1">
      <alignment vertical="center"/>
    </xf>
    <xf numFmtId="0" fontId="86" fillId="0" borderId="26" xfId="46" applyFont="1" applyFill="1" applyBorder="1" applyAlignment="1">
      <alignment vertical="center" wrapText="1"/>
    </xf>
    <xf numFmtId="0" fontId="62" fillId="0" borderId="0" xfId="0" applyFont="1" applyFill="1"/>
    <xf numFmtId="3" fontId="76" fillId="0" borderId="10" xfId="0" applyNumberFormat="1" applyFont="1" applyFill="1" applyBorder="1" applyAlignment="1">
      <alignment horizontal="right" vertical="center"/>
    </xf>
    <xf numFmtId="3" fontId="76" fillId="0" borderId="10" xfId="0" applyNumberFormat="1" applyFont="1" applyBorder="1" applyAlignment="1">
      <alignment horizontal="right" vertical="center"/>
    </xf>
    <xf numFmtId="3" fontId="76" fillId="0" borderId="27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52" fillId="0" borderId="0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25" xfId="67" applyFont="1" applyFill="1" applyBorder="1" applyAlignment="1">
      <alignment horizontal="center" vertical="center" wrapText="1"/>
    </xf>
    <xf numFmtId="0" fontId="62" fillId="0" borderId="26" xfId="67" applyFont="1" applyFill="1" applyBorder="1" applyAlignment="1">
      <alignment horizontal="center" vertical="center" wrapText="1"/>
    </xf>
    <xf numFmtId="0" fontId="136" fillId="0" borderId="0" xfId="0" applyFont="1" applyAlignment="1">
      <alignment horizontal="center" vertical="center"/>
    </xf>
    <xf numFmtId="3" fontId="14" fillId="0" borderId="19" xfId="76" applyNumberFormat="1" applyFont="1" applyFill="1" applyBorder="1" applyAlignment="1">
      <alignment horizontal="right" wrapText="1"/>
    </xf>
    <xf numFmtId="165" fontId="14" fillId="0" borderId="70" xfId="26" applyNumberFormat="1" applyFont="1" applyBorder="1" applyAlignment="1">
      <alignment horizontal="right" wrapText="1"/>
    </xf>
    <xf numFmtId="0" fontId="97" fillId="0" borderId="10" xfId="49" applyFont="1" applyFill="1" applyBorder="1" applyAlignment="1">
      <alignment vertical="center"/>
    </xf>
    <xf numFmtId="3" fontId="97" fillId="0" borderId="10" xfId="49" applyNumberFormat="1" applyFont="1" applyFill="1" applyBorder="1" applyAlignment="1">
      <alignment vertical="center"/>
    </xf>
    <xf numFmtId="0" fontId="97" fillId="0" borderId="14" xfId="49" applyFont="1" applyFill="1" applyBorder="1" applyAlignment="1">
      <alignment vertical="center"/>
    </xf>
    <xf numFmtId="0" fontId="97" fillId="0" borderId="26" xfId="49" applyFont="1" applyFill="1" applyBorder="1" applyAlignment="1">
      <alignment vertical="center"/>
    </xf>
    <xf numFmtId="0" fontId="97" fillId="0" borderId="27" xfId="49" applyFont="1" applyFill="1" applyBorder="1" applyAlignment="1">
      <alignment vertical="center"/>
    </xf>
    <xf numFmtId="0" fontId="97" fillId="0" borderId="37" xfId="49" applyFont="1" applyFill="1" applyBorder="1" applyAlignment="1">
      <alignment vertical="center"/>
    </xf>
    <xf numFmtId="3" fontId="97" fillId="0" borderId="27" xfId="49" applyNumberFormat="1" applyFont="1" applyFill="1" applyBorder="1" applyAlignment="1">
      <alignment vertical="center"/>
    </xf>
    <xf numFmtId="0" fontId="18" fillId="0" borderId="0" xfId="49" applyFont="1" applyFill="1" applyAlignment="1">
      <alignment vertical="center"/>
    </xf>
    <xf numFmtId="3" fontId="119" fillId="29" borderId="15" xfId="0" applyNumberFormat="1" applyFont="1" applyFill="1" applyBorder="1" applyAlignment="1">
      <alignment horizontal="right" vertical="center"/>
    </xf>
    <xf numFmtId="0" fontId="66" fillId="0" borderId="0" xfId="0" applyFont="1" applyAlignment="1">
      <alignment vertical="center"/>
    </xf>
    <xf numFmtId="3" fontId="119" fillId="24" borderId="17" xfId="0" applyNumberFormat="1" applyFont="1" applyFill="1" applyBorder="1" applyAlignment="1">
      <alignment horizontal="right" vertical="center"/>
    </xf>
    <xf numFmtId="168" fontId="14" fillId="0" borderId="24" xfId="0" applyNumberFormat="1" applyFont="1" applyFill="1" applyBorder="1" applyAlignment="1">
      <alignment horizontal="center" vertical="center"/>
    </xf>
    <xf numFmtId="168" fontId="14" fillId="0" borderId="64" xfId="0" applyNumberFormat="1" applyFont="1" applyFill="1" applyBorder="1" applyAlignment="1">
      <alignment vertical="center"/>
    </xf>
    <xf numFmtId="3" fontId="62" fillId="0" borderId="33" xfId="0" applyNumberFormat="1" applyFont="1" applyBorder="1" applyAlignment="1">
      <alignment horizontal="right" vertical="center"/>
    </xf>
    <xf numFmtId="0" fontId="97" fillId="0" borderId="0" xfId="0" applyFont="1"/>
    <xf numFmtId="0" fontId="77" fillId="27" borderId="41" xfId="0" applyFont="1" applyFill="1" applyBorder="1"/>
    <xf numFmtId="0" fontId="76" fillId="0" borderId="14" xfId="0" applyFont="1" applyFill="1" applyBorder="1" applyAlignment="1">
      <alignment vertical="center" wrapText="1"/>
    </xf>
    <xf numFmtId="3" fontId="46" fillId="0" borderId="37" xfId="79" applyNumberFormat="1" applyFont="1" applyFill="1" applyBorder="1" applyAlignment="1">
      <alignment horizontal="right"/>
    </xf>
    <xf numFmtId="3" fontId="17" fillId="0" borderId="37" xfId="79" applyNumberFormat="1" applyFont="1" applyFill="1" applyBorder="1" applyAlignment="1">
      <alignment horizontal="right"/>
    </xf>
    <xf numFmtId="3" fontId="77" fillId="27" borderId="61" xfId="0" applyNumberFormat="1" applyFont="1" applyFill="1" applyBorder="1" applyAlignment="1">
      <alignment horizontal="right"/>
    </xf>
    <xf numFmtId="0" fontId="77" fillId="0" borderId="37" xfId="0" applyFont="1" applyFill="1" applyBorder="1" applyAlignment="1">
      <alignment horizontal="center" vertical="center" wrapText="1"/>
    </xf>
    <xf numFmtId="3" fontId="76" fillId="0" borderId="37" xfId="0" applyNumberFormat="1" applyFont="1" applyBorder="1" applyAlignment="1">
      <alignment horizontal="right"/>
    </xf>
    <xf numFmtId="0" fontId="76" fillId="0" borderId="69" xfId="0" applyFont="1" applyBorder="1"/>
    <xf numFmtId="0" fontId="45" fillId="0" borderId="51" xfId="0" applyFont="1" applyBorder="1" applyAlignment="1">
      <alignment horizontal="center" vertical="center"/>
    </xf>
    <xf numFmtId="3" fontId="97" fillId="0" borderId="14" xfId="49" applyNumberFormat="1" applyFont="1" applyFill="1" applyBorder="1" applyAlignment="1">
      <alignment vertical="center"/>
    </xf>
    <xf numFmtId="3" fontId="97" fillId="0" borderId="26" xfId="49" applyNumberFormat="1" applyFont="1" applyFill="1" applyBorder="1" applyAlignment="1">
      <alignment vertical="center"/>
    </xf>
    <xf numFmtId="3" fontId="97" fillId="0" borderId="37" xfId="49" applyNumberFormat="1" applyFont="1" applyFill="1" applyBorder="1" applyAlignment="1">
      <alignment vertical="center"/>
    </xf>
    <xf numFmtId="3" fontId="98" fillId="29" borderId="10" xfId="49" applyNumberFormat="1" applyFont="1" applyFill="1" applyBorder="1" applyAlignment="1">
      <alignment vertical="center"/>
    </xf>
    <xf numFmtId="3" fontId="98" fillId="29" borderId="14" xfId="49" applyNumberFormat="1" applyFont="1" applyFill="1" applyBorder="1" applyAlignment="1">
      <alignment vertical="center"/>
    </xf>
    <xf numFmtId="3" fontId="98" fillId="29" borderId="37" xfId="49" applyNumberFormat="1" applyFont="1" applyFill="1" applyBorder="1" applyAlignment="1">
      <alignment vertical="center"/>
    </xf>
    <xf numFmtId="0" fontId="18" fillId="0" borderId="0" xfId="49" applyFont="1" applyAlignment="1">
      <alignment vertical="center"/>
    </xf>
    <xf numFmtId="3" fontId="132" fillId="0" borderId="10" xfId="49" applyNumberFormat="1" applyFont="1" applyFill="1" applyBorder="1" applyAlignment="1">
      <alignment vertical="center"/>
    </xf>
    <xf numFmtId="3" fontId="132" fillId="0" borderId="14" xfId="49" applyNumberFormat="1" applyFont="1" applyFill="1" applyBorder="1" applyAlignment="1">
      <alignment vertical="center"/>
    </xf>
    <xf numFmtId="3" fontId="132" fillId="0" borderId="26" xfId="49" applyNumberFormat="1" applyFont="1" applyFill="1" applyBorder="1" applyAlignment="1">
      <alignment vertical="center"/>
    </xf>
    <xf numFmtId="3" fontId="132" fillId="0" borderId="27" xfId="49" applyNumberFormat="1" applyFont="1" applyFill="1" applyBorder="1" applyAlignment="1">
      <alignment vertical="center"/>
    </xf>
    <xf numFmtId="3" fontId="132" fillId="0" borderId="37" xfId="49" applyNumberFormat="1" applyFont="1" applyFill="1" applyBorder="1" applyAlignment="1">
      <alignment vertical="center"/>
    </xf>
    <xf numFmtId="0" fontId="95" fillId="0" borderId="0" xfId="49" applyFont="1" applyFill="1" applyAlignment="1">
      <alignment vertical="center"/>
    </xf>
    <xf numFmtId="3" fontId="98" fillId="26" borderId="10" xfId="49" applyNumberFormat="1" applyFont="1" applyFill="1" applyBorder="1" applyAlignment="1">
      <alignment vertical="center"/>
    </xf>
    <xf numFmtId="3" fontId="98" fillId="26" borderId="14" xfId="49" applyNumberFormat="1" applyFont="1" applyFill="1" applyBorder="1" applyAlignment="1">
      <alignment vertical="center"/>
    </xf>
    <xf numFmtId="3" fontId="98" fillId="26" borderId="26" xfId="49" applyNumberFormat="1" applyFont="1" applyFill="1" applyBorder="1" applyAlignment="1">
      <alignment vertical="center"/>
    </xf>
    <xf numFmtId="3" fontId="98" fillId="26" borderId="27" xfId="49" applyNumberFormat="1" applyFont="1" applyFill="1" applyBorder="1" applyAlignment="1">
      <alignment vertical="center"/>
    </xf>
    <xf numFmtId="3" fontId="98" fillId="26" borderId="37" xfId="49" applyNumberFormat="1" applyFont="1" applyFill="1" applyBorder="1" applyAlignment="1">
      <alignment vertical="center"/>
    </xf>
    <xf numFmtId="3" fontId="45" fillId="26" borderId="0" xfId="49" applyNumberFormat="1" applyFont="1" applyFill="1" applyBorder="1" applyAlignment="1">
      <alignment vertical="center"/>
    </xf>
    <xf numFmtId="0" fontId="18" fillId="0" borderId="0" xfId="49" applyFont="1" applyBorder="1" applyAlignment="1">
      <alignment vertical="center"/>
    </xf>
    <xf numFmtId="3" fontId="133" fillId="24" borderId="35" xfId="49" applyNumberFormat="1" applyFont="1" applyFill="1" applyBorder="1" applyAlignment="1">
      <alignment vertical="center"/>
    </xf>
    <xf numFmtId="3" fontId="133" fillId="24" borderId="41" xfId="49" applyNumberFormat="1" applyFont="1" applyFill="1" applyBorder="1" applyAlignment="1">
      <alignment vertical="center"/>
    </xf>
    <xf numFmtId="3" fontId="133" fillId="24" borderId="34" xfId="49" applyNumberFormat="1" applyFont="1" applyFill="1" applyBorder="1" applyAlignment="1">
      <alignment vertical="center"/>
    </xf>
    <xf numFmtId="3" fontId="133" fillId="24" borderId="36" xfId="49" applyNumberFormat="1" applyFont="1" applyFill="1" applyBorder="1" applyAlignment="1">
      <alignment vertical="center"/>
    </xf>
    <xf numFmtId="3" fontId="133" fillId="24" borderId="61" xfId="49" applyNumberFormat="1" applyFont="1" applyFill="1" applyBorder="1" applyAlignment="1">
      <alignment vertical="center"/>
    </xf>
    <xf numFmtId="0" fontId="59" fillId="0" borderId="0" xfId="49" applyFont="1" applyAlignment="1">
      <alignment vertical="center"/>
    </xf>
    <xf numFmtId="3" fontId="98" fillId="29" borderId="50" xfId="49" applyNumberFormat="1" applyFont="1" applyFill="1" applyBorder="1" applyAlignment="1">
      <alignment vertical="center"/>
    </xf>
    <xf numFmtId="3" fontId="98" fillId="29" borderId="27" xfId="49" applyNumberFormat="1" applyFont="1" applyFill="1" applyBorder="1" applyAlignment="1">
      <alignment vertical="center"/>
    </xf>
    <xf numFmtId="0" fontId="13" fillId="0" borderId="22" xfId="67" applyFont="1" applyFill="1" applyBorder="1" applyAlignment="1">
      <alignment vertical="center" wrapText="1"/>
    </xf>
    <xf numFmtId="0" fontId="158" fillId="0" borderId="0" xfId="86" quotePrefix="1"/>
    <xf numFmtId="0" fontId="158" fillId="0" borderId="0" xfId="86"/>
    <xf numFmtId="0" fontId="158" fillId="0" borderId="0" xfId="86" applyFill="1"/>
    <xf numFmtId="0" fontId="158" fillId="0" borderId="0" xfId="86" applyFill="1" applyAlignment="1"/>
    <xf numFmtId="0" fontId="158" fillId="0" borderId="0" xfId="86" applyAlignment="1">
      <alignment horizontal="center"/>
    </xf>
    <xf numFmtId="0" fontId="158" fillId="0" borderId="0" xfId="86" applyAlignment="1">
      <alignment horizontal="center" vertical="center"/>
    </xf>
    <xf numFmtId="0" fontId="158" fillId="0" borderId="0" xfId="86" applyAlignment="1"/>
    <xf numFmtId="3" fontId="158" fillId="0" borderId="0" xfId="86" applyNumberFormat="1"/>
    <xf numFmtId="0" fontId="158" fillId="0" borderId="0" xfId="86" applyNumberFormat="1" applyBorder="1" applyAlignment="1">
      <alignment horizontal="center" wrapText="1"/>
    </xf>
    <xf numFmtId="0" fontId="158" fillId="0" borderId="0" xfId="86" applyBorder="1" applyAlignment="1">
      <alignment horizontal="center" wrapText="1"/>
    </xf>
    <xf numFmtId="0" fontId="152" fillId="0" borderId="26" xfId="0" applyFont="1" applyFill="1" applyBorder="1" applyAlignment="1">
      <alignment horizontal="center" vertical="center"/>
    </xf>
    <xf numFmtId="3" fontId="46" fillId="0" borderId="36" xfId="67" applyNumberFormat="1" applyFont="1" applyFill="1" applyBorder="1" applyAlignment="1">
      <alignment vertical="center"/>
    </xf>
    <xf numFmtId="3" fontId="160" fillId="37" borderId="0" xfId="0" applyNumberFormat="1" applyFont="1" applyFill="1" applyAlignment="1">
      <alignment vertical="center"/>
    </xf>
    <xf numFmtId="2" fontId="103" fillId="0" borderId="0" xfId="46" applyNumberFormat="1" applyFont="1" applyFill="1" applyBorder="1" applyAlignment="1">
      <alignment vertical="center"/>
    </xf>
    <xf numFmtId="2" fontId="98" fillId="34" borderId="14" xfId="58" applyNumberFormat="1" applyFont="1" applyFill="1" applyBorder="1" applyAlignment="1">
      <alignment vertical="center"/>
    </xf>
    <xf numFmtId="0" fontId="52" fillId="0" borderId="24" xfId="58" applyFont="1" applyFill="1" applyBorder="1" applyAlignment="1">
      <alignment horizontal="center" vertical="center" wrapText="1"/>
    </xf>
    <xf numFmtId="2" fontId="62" fillId="0" borderId="24" xfId="46" applyNumberFormat="1" applyFont="1" applyFill="1" applyBorder="1" applyAlignment="1">
      <alignment vertical="center"/>
    </xf>
    <xf numFmtId="2" fontId="52" fillId="0" borderId="24" xfId="58" applyNumberFormat="1" applyFont="1" applyBorder="1" applyAlignment="1">
      <alignment vertical="center"/>
    </xf>
    <xf numFmtId="175" fontId="87" fillId="0" borderId="10" xfId="49" applyNumberFormat="1" applyFont="1" applyBorder="1"/>
    <xf numFmtId="0" fontId="147" fillId="0" borderId="52" xfId="0" applyFont="1" applyFill="1" applyBorder="1"/>
    <xf numFmtId="0" fontId="147" fillId="0" borderId="52" xfId="0" applyFont="1" applyBorder="1"/>
    <xf numFmtId="0" fontId="147" fillId="0" borderId="52" xfId="0" applyFont="1" applyFill="1" applyBorder="1" applyAlignment="1">
      <alignment horizontal="right"/>
    </xf>
    <xf numFmtId="0" fontId="46" fillId="0" borderId="14" xfId="45" applyFont="1" applyFill="1" applyBorder="1" applyAlignment="1">
      <alignment vertical="center"/>
    </xf>
    <xf numFmtId="3" fontId="46" fillId="0" borderId="26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52" fillId="0" borderId="0" xfId="58" applyFont="1" applyFill="1" applyBorder="1" applyAlignment="1">
      <alignment horizontal="center"/>
    </xf>
    <xf numFmtId="0" fontId="52" fillId="0" borderId="10" xfId="46" applyFont="1" applyFill="1" applyBorder="1" applyAlignment="1">
      <alignment horizontal="center" vertical="center" wrapText="1"/>
    </xf>
    <xf numFmtId="3" fontId="46" fillId="0" borderId="0" xfId="67" applyNumberFormat="1" applyFont="1" applyFill="1" applyBorder="1" applyAlignment="1">
      <alignment horizontal="left" vertical="center"/>
    </xf>
    <xf numFmtId="168" fontId="77" fillId="0" borderId="26" xfId="0" applyNumberFormat="1" applyFont="1" applyFill="1" applyBorder="1" applyAlignment="1">
      <alignment vertical="center"/>
    </xf>
    <xf numFmtId="0" fontId="77" fillId="0" borderId="10" xfId="0" applyFont="1" applyFill="1" applyBorder="1" applyAlignment="1">
      <alignment horizontal="left" vertical="center"/>
    </xf>
    <xf numFmtId="168" fontId="13" fillId="0" borderId="26" xfId="0" applyNumberFormat="1" applyFont="1" applyFill="1" applyBorder="1" applyAlignment="1">
      <alignment vertical="center"/>
    </xf>
    <xf numFmtId="0" fontId="77" fillId="0" borderId="10" xfId="0" applyFont="1" applyFill="1" applyBorder="1" applyAlignment="1">
      <alignment vertical="center" wrapText="1"/>
    </xf>
    <xf numFmtId="0" fontId="45" fillId="0" borderId="10" xfId="0" applyFont="1" applyFill="1" applyBorder="1" applyAlignment="1">
      <alignment vertical="center" wrapText="1"/>
    </xf>
    <xf numFmtId="0" fontId="45" fillId="0" borderId="10" xfId="0" applyFont="1" applyFill="1" applyBorder="1" applyAlignment="1">
      <alignment horizontal="left" vertical="center"/>
    </xf>
    <xf numFmtId="0" fontId="17" fillId="26" borderId="10" xfId="0" applyFont="1" applyFill="1" applyBorder="1" applyAlignment="1">
      <alignment horizontal="left" vertical="center" wrapText="1"/>
    </xf>
    <xf numFmtId="0" fontId="76" fillId="0" borderId="52" xfId="0" applyFont="1" applyBorder="1"/>
    <xf numFmtId="0" fontId="76" fillId="0" borderId="71" xfId="0" applyFont="1" applyBorder="1"/>
    <xf numFmtId="3" fontId="6" fillId="0" borderId="0" xfId="58" applyNumberFormat="1" applyFont="1" applyFill="1" applyBorder="1"/>
    <xf numFmtId="3" fontId="52" fillId="29" borderId="17" xfId="0" applyNumberFormat="1" applyFont="1" applyFill="1" applyBorder="1" applyAlignment="1">
      <alignment horizontal="right" vertical="center"/>
    </xf>
    <xf numFmtId="3" fontId="52" fillId="24" borderId="17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103" fillId="0" borderId="10" xfId="46" applyFont="1" applyFill="1" applyBorder="1" applyAlignment="1">
      <alignment vertical="center" wrapText="1"/>
    </xf>
    <xf numFmtId="0" fontId="103" fillId="0" borderId="0" xfId="46" applyFont="1" applyFill="1" applyBorder="1" applyAlignment="1">
      <alignment vertical="center" wrapText="1"/>
    </xf>
    <xf numFmtId="0" fontId="52" fillId="0" borderId="14" xfId="46" applyFont="1" applyFill="1" applyBorder="1" applyAlignment="1">
      <alignment horizontal="center" vertical="center" wrapText="1"/>
    </xf>
    <xf numFmtId="0" fontId="103" fillId="0" borderId="10" xfId="71" applyFont="1" applyFill="1" applyBorder="1" applyAlignment="1">
      <alignment vertical="center"/>
    </xf>
    <xf numFmtId="0" fontId="102" fillId="0" borderId="10" xfId="71" applyFont="1" applyFill="1" applyBorder="1" applyAlignment="1">
      <alignment vertical="center"/>
    </xf>
    <xf numFmtId="2" fontId="102" fillId="0" borderId="14" xfId="46" applyNumberFormat="1" applyFont="1" applyFill="1" applyBorder="1" applyAlignment="1">
      <alignment vertical="center"/>
    </xf>
    <xf numFmtId="0" fontId="103" fillId="0" borderId="22" xfId="71" applyFont="1" applyFill="1" applyBorder="1" applyAlignment="1">
      <alignment vertical="center"/>
    </xf>
    <xf numFmtId="2" fontId="102" fillId="0" borderId="22" xfId="71" applyNumberFormat="1" applyFont="1" applyFill="1" applyBorder="1" applyAlignment="1">
      <alignment vertical="center"/>
    </xf>
    <xf numFmtId="2" fontId="102" fillId="0" borderId="14" xfId="46" applyNumberFormat="1" applyFont="1" applyFill="1" applyBorder="1" applyAlignment="1">
      <alignment horizontal="right" vertical="center"/>
    </xf>
    <xf numFmtId="0" fontId="17" fillId="32" borderId="48" xfId="46" applyFont="1" applyFill="1" applyBorder="1" applyAlignment="1">
      <alignment horizontal="center" vertical="center" wrapText="1"/>
    </xf>
    <xf numFmtId="0" fontId="17" fillId="32" borderId="15" xfId="46" applyFont="1" applyFill="1" applyBorder="1" applyAlignment="1">
      <alignment horizontal="center" vertical="center" wrapText="1"/>
    </xf>
    <xf numFmtId="0" fontId="17" fillId="32" borderId="17" xfId="46" applyFont="1" applyFill="1" applyBorder="1" applyAlignment="1">
      <alignment horizontal="center" vertical="center" wrapText="1"/>
    </xf>
    <xf numFmtId="1" fontId="45" fillId="0" borderId="10" xfId="55" applyNumberFormat="1" applyFont="1" applyFill="1" applyBorder="1"/>
    <xf numFmtId="3" fontId="46" fillId="0" borderId="26" xfId="45" applyNumberFormat="1" applyFont="1" applyFill="1" applyBorder="1" applyAlignment="1">
      <alignment vertical="center"/>
    </xf>
    <xf numFmtId="3" fontId="46" fillId="0" borderId="27" xfId="45" applyNumberFormat="1" applyFont="1" applyFill="1" applyBorder="1" applyAlignment="1">
      <alignment vertical="center"/>
    </xf>
    <xf numFmtId="3" fontId="46" fillId="0" borderId="37" xfId="45" applyNumberFormat="1" applyFont="1" applyFill="1" applyBorder="1" applyAlignment="1">
      <alignment vertical="center"/>
    </xf>
    <xf numFmtId="3" fontId="46" fillId="0" borderId="14" xfId="45" applyNumberFormat="1" applyFont="1" applyFill="1" applyBorder="1" applyAlignment="1">
      <alignment vertical="center"/>
    </xf>
    <xf numFmtId="3" fontId="17" fillId="0" borderId="26" xfId="45" applyNumberFormat="1" applyFont="1" applyFill="1" applyBorder="1"/>
    <xf numFmtId="3" fontId="17" fillId="0" borderId="27" xfId="45" applyNumberFormat="1" applyFont="1" applyFill="1" applyBorder="1"/>
    <xf numFmtId="3" fontId="17" fillId="0" borderId="37" xfId="45" applyNumberFormat="1" applyFont="1" applyFill="1" applyBorder="1"/>
    <xf numFmtId="3" fontId="17" fillId="0" borderId="14" xfId="45" applyNumberFormat="1" applyFont="1" applyFill="1" applyBorder="1"/>
    <xf numFmtId="3" fontId="46" fillId="0" borderId="25" xfId="45" applyNumberFormat="1" applyFont="1" applyFill="1" applyBorder="1"/>
    <xf numFmtId="3" fontId="46" fillId="0" borderId="65" xfId="45" applyNumberFormat="1" applyFont="1" applyFill="1" applyBorder="1"/>
    <xf numFmtId="3" fontId="17" fillId="0" borderId="15" xfId="76" applyNumberFormat="1" applyFont="1" applyFill="1" applyBorder="1" applyAlignment="1">
      <alignment horizontal="center" vertical="center" wrapText="1"/>
    </xf>
    <xf numFmtId="3" fontId="102" fillId="0" borderId="32" xfId="45" applyNumberFormat="1" applyFont="1" applyFill="1" applyBorder="1"/>
    <xf numFmtId="3" fontId="102" fillId="0" borderId="28" xfId="45" applyNumberFormat="1" applyFont="1" applyFill="1" applyBorder="1"/>
    <xf numFmtId="3" fontId="62" fillId="0" borderId="27" xfId="0" applyNumberFormat="1" applyFont="1" applyFill="1" applyBorder="1" applyAlignment="1">
      <alignment horizontal="right" vertical="center"/>
    </xf>
    <xf numFmtId="3" fontId="62" fillId="0" borderId="22" xfId="0" applyNumberFormat="1" applyFont="1" applyFill="1" applyBorder="1" applyAlignment="1">
      <alignment horizontal="right" vertical="center"/>
    </xf>
    <xf numFmtId="0" fontId="9" fillId="0" borderId="16" xfId="57" applyFont="1" applyFill="1" applyBorder="1" applyAlignment="1">
      <alignment horizontal="center" vertical="center"/>
    </xf>
    <xf numFmtId="0" fontId="86" fillId="0" borderId="34" xfId="46" applyFont="1" applyFill="1" applyBorder="1" applyAlignment="1">
      <alignment vertical="center" wrapText="1"/>
    </xf>
    <xf numFmtId="3" fontId="52" fillId="0" borderId="35" xfId="46" applyNumberFormat="1" applyFont="1" applyFill="1" applyBorder="1" applyAlignment="1">
      <alignment horizontal="center" vertical="center" wrapText="1"/>
    </xf>
    <xf numFmtId="0" fontId="62" fillId="0" borderId="36" xfId="46" applyFont="1" applyFill="1" applyBorder="1" applyAlignment="1">
      <alignment horizontal="justify" vertical="center" wrapText="1"/>
    </xf>
    <xf numFmtId="0" fontId="52" fillId="0" borderId="25" xfId="46" applyFont="1" applyFill="1" applyBorder="1" applyAlignment="1">
      <alignment vertical="center"/>
    </xf>
    <xf numFmtId="0" fontId="52" fillId="0" borderId="23" xfId="46" applyFont="1" applyFill="1" applyBorder="1" applyAlignment="1">
      <alignment horizontal="center" vertical="center"/>
    </xf>
    <xf numFmtId="3" fontId="52" fillId="0" borderId="23" xfId="46" applyNumberFormat="1" applyFont="1" applyFill="1" applyBorder="1" applyAlignment="1">
      <alignment horizontal="center" vertical="center"/>
    </xf>
    <xf numFmtId="0" fontId="52" fillId="0" borderId="29" xfId="46" applyFont="1" applyFill="1" applyBorder="1" applyAlignment="1">
      <alignment horizontal="justify" vertical="center"/>
    </xf>
    <xf numFmtId="0" fontId="62" fillId="0" borderId="22" xfId="0" applyFont="1" applyFill="1" applyBorder="1" applyAlignment="1">
      <alignment horizontal="center" vertical="center"/>
    </xf>
    <xf numFmtId="49" fontId="53" fillId="24" borderId="16" xfId="0" applyNumberFormat="1" applyFont="1" applyFill="1" applyBorder="1" applyAlignment="1">
      <alignment horizontal="center" vertical="center"/>
    </xf>
    <xf numFmtId="49" fontId="53" fillId="24" borderId="17" xfId="0" applyNumberFormat="1" applyFont="1" applyFill="1" applyBorder="1" applyAlignment="1">
      <alignment vertical="center"/>
    </xf>
    <xf numFmtId="3" fontId="103" fillId="24" borderId="17" xfId="0" applyNumberFormat="1" applyFont="1" applyFill="1" applyBorder="1" applyAlignment="1">
      <alignment horizontal="right" vertical="center"/>
    </xf>
    <xf numFmtId="3" fontId="103" fillId="24" borderId="15" xfId="0" applyNumberFormat="1" applyFont="1" applyFill="1" applyBorder="1" applyAlignment="1">
      <alignment horizontal="right" vertical="center"/>
    </xf>
    <xf numFmtId="3" fontId="13" fillId="0" borderId="10" xfId="0" applyNumberFormat="1" applyFont="1" applyBorder="1"/>
    <xf numFmtId="3" fontId="46" fillId="0" borderId="47" xfId="67" applyNumberFormat="1" applyFont="1" applyFill="1" applyBorder="1" applyAlignment="1">
      <alignment vertical="center"/>
    </xf>
    <xf numFmtId="0" fontId="14" fillId="0" borderId="0" xfId="81" applyFont="1" applyFill="1" applyBorder="1" applyAlignment="1">
      <alignment horizontal="right"/>
    </xf>
    <xf numFmtId="0" fontId="9" fillId="0" borderId="0" xfId="81" applyFont="1" applyFill="1" applyBorder="1" applyAlignment="1">
      <alignment horizontal="left" vertical="center"/>
    </xf>
    <xf numFmtId="167" fontId="14" fillId="0" borderId="0" xfId="82" applyNumberFormat="1" applyFont="1" applyFill="1" applyBorder="1" applyAlignment="1">
      <alignment horizontal="center" vertical="center"/>
    </xf>
    <xf numFmtId="0" fontId="9" fillId="0" borderId="43" xfId="81" applyFont="1" applyFill="1" applyBorder="1" applyAlignment="1">
      <alignment horizontal="center" vertical="center" wrapText="1"/>
    </xf>
    <xf numFmtId="0" fontId="9" fillId="0" borderId="40" xfId="81" applyFont="1" applyFill="1" applyBorder="1" applyAlignment="1">
      <alignment horizontal="center" vertical="center" wrapText="1"/>
    </xf>
    <xf numFmtId="167" fontId="9" fillId="0" borderId="40" xfId="81" applyNumberFormat="1" applyFont="1" applyFill="1" applyBorder="1" applyAlignment="1">
      <alignment horizontal="center" vertical="center" wrapText="1"/>
    </xf>
    <xf numFmtId="0" fontId="9" fillId="0" borderId="47" xfId="81" applyFont="1" applyFill="1" applyBorder="1" applyAlignment="1">
      <alignment horizontal="center" vertical="center" wrapText="1"/>
    </xf>
    <xf numFmtId="0" fontId="9" fillId="0" borderId="18" xfId="81" applyFont="1" applyFill="1" applyBorder="1" applyAlignment="1">
      <alignment horizontal="center" vertical="center" wrapText="1"/>
    </xf>
    <xf numFmtId="0" fontId="14" fillId="33" borderId="22" xfId="81" applyFont="1" applyFill="1" applyBorder="1" applyAlignment="1">
      <alignment horizontal="center" vertical="center" wrapText="1"/>
    </xf>
    <xf numFmtId="0" fontId="14" fillId="33" borderId="10" xfId="81" applyFont="1" applyFill="1" applyBorder="1" applyAlignment="1">
      <alignment horizontal="left" vertical="center" wrapText="1"/>
    </xf>
    <xf numFmtId="3" fontId="14" fillId="33" borderId="10" xfId="81" applyNumberFormat="1" applyFont="1" applyFill="1" applyBorder="1" applyAlignment="1">
      <alignment vertical="center"/>
    </xf>
    <xf numFmtId="175" fontId="14" fillId="33" borderId="10" xfId="81" applyNumberFormat="1" applyFont="1" applyFill="1" applyBorder="1" applyAlignment="1">
      <alignment vertical="center"/>
    </xf>
    <xf numFmtId="0" fontId="14" fillId="33" borderId="0" xfId="81" applyFont="1" applyFill="1" applyAlignment="1">
      <alignment vertical="center"/>
    </xf>
    <xf numFmtId="3" fontId="14" fillId="33" borderId="0" xfId="81" applyNumberFormat="1" applyFont="1" applyFill="1" applyAlignment="1">
      <alignment vertical="center"/>
    </xf>
    <xf numFmtId="0" fontId="14" fillId="33" borderId="10" xfId="83" applyFont="1" applyFill="1" applyBorder="1" applyAlignment="1">
      <alignment horizontal="left" vertical="center" wrapText="1"/>
    </xf>
    <xf numFmtId="3" fontId="9" fillId="33" borderId="20" xfId="81" applyNumberFormat="1" applyFont="1" applyFill="1" applyBorder="1" applyAlignment="1">
      <alignment horizontal="left" vertical="center"/>
    </xf>
    <xf numFmtId="0" fontId="9" fillId="33" borderId="0" xfId="81" applyFont="1" applyFill="1" applyAlignment="1">
      <alignment horizontal="left" vertical="center"/>
    </xf>
    <xf numFmtId="3" fontId="9" fillId="33" borderId="19" xfId="81" applyNumberFormat="1" applyFont="1" applyFill="1" applyBorder="1" applyAlignment="1">
      <alignment horizontal="left" vertical="center"/>
    </xf>
    <xf numFmtId="0" fontId="13" fillId="33" borderId="22" xfId="76" applyFont="1" applyFill="1" applyBorder="1" applyAlignment="1">
      <alignment horizontal="left" vertical="center" wrapText="1"/>
    </xf>
    <xf numFmtId="3" fontId="14" fillId="33" borderId="22" xfId="81" applyNumberFormat="1" applyFont="1" applyFill="1" applyBorder="1" applyAlignment="1">
      <alignment vertical="center"/>
    </xf>
    <xf numFmtId="3" fontId="9" fillId="33" borderId="54" xfId="81" applyNumberFormat="1" applyFont="1" applyFill="1" applyBorder="1" applyAlignment="1">
      <alignment horizontal="left" vertical="center"/>
    </xf>
    <xf numFmtId="0" fontId="14" fillId="33" borderId="22" xfId="83" applyFont="1" applyFill="1" applyBorder="1" applyAlignment="1">
      <alignment horizontal="left" vertical="center" wrapText="1"/>
    </xf>
    <xf numFmtId="175" fontId="14" fillId="0" borderId="10" xfId="81" applyNumberFormat="1" applyFont="1" applyFill="1" applyBorder="1" applyAlignment="1">
      <alignment vertical="center"/>
    </xf>
    <xf numFmtId="3" fontId="9" fillId="0" borderId="54" xfId="81" applyNumberFormat="1" applyFont="1" applyFill="1" applyBorder="1" applyAlignment="1">
      <alignment horizontal="left" vertical="center"/>
    </xf>
    <xf numFmtId="0" fontId="14" fillId="33" borderId="17" xfId="81" applyFont="1" applyFill="1" applyBorder="1" applyAlignment="1">
      <alignment horizontal="center" vertical="center" wrapText="1"/>
    </xf>
    <xf numFmtId="3" fontId="9" fillId="31" borderId="17" xfId="81" applyNumberFormat="1" applyFont="1" applyFill="1" applyBorder="1" applyAlignment="1">
      <alignment horizontal="right" vertical="center"/>
    </xf>
    <xf numFmtId="3" fontId="9" fillId="25" borderId="54" xfId="81" applyNumberFormat="1" applyFont="1" applyFill="1" applyBorder="1" applyAlignment="1">
      <alignment horizontal="left" vertical="center"/>
    </xf>
    <xf numFmtId="0" fontId="14" fillId="33" borderId="52" xfId="81" applyFont="1" applyFill="1" applyBorder="1" applyAlignment="1">
      <alignment horizontal="center" vertical="center" wrapText="1"/>
    </xf>
    <xf numFmtId="0" fontId="9" fillId="33" borderId="52" xfId="81" applyFont="1" applyFill="1" applyBorder="1" applyAlignment="1">
      <alignment horizontal="left" vertical="center" wrapText="1"/>
    </xf>
    <xf numFmtId="3" fontId="9" fillId="33" borderId="52" xfId="81" applyNumberFormat="1" applyFont="1" applyFill="1" applyBorder="1" applyAlignment="1">
      <alignment horizontal="right" vertical="center"/>
    </xf>
    <xf numFmtId="3" fontId="9" fillId="25" borderId="0" xfId="81" applyNumberFormat="1" applyFont="1" applyFill="1" applyBorder="1" applyAlignment="1">
      <alignment horizontal="left" vertical="center"/>
    </xf>
    <xf numFmtId="0" fontId="14" fillId="33" borderId="52" xfId="81" applyFont="1" applyFill="1" applyBorder="1" applyAlignment="1">
      <alignment vertical="center"/>
    </xf>
    <xf numFmtId="0" fontId="9" fillId="0" borderId="52" xfId="81" applyFont="1" applyFill="1" applyBorder="1" applyAlignment="1">
      <alignment vertical="center" wrapText="1"/>
    </xf>
    <xf numFmtId="167" fontId="9" fillId="0" borderId="52" xfId="81" applyNumberFormat="1" applyFont="1" applyFill="1" applyBorder="1" applyAlignment="1">
      <alignment vertical="center"/>
    </xf>
    <xf numFmtId="3" fontId="9" fillId="0" borderId="52" xfId="81" applyNumberFormat="1" applyFont="1" applyFill="1" applyBorder="1" applyAlignment="1">
      <alignment vertical="center"/>
    </xf>
    <xf numFmtId="3" fontId="9" fillId="0" borderId="0" xfId="81" applyNumberFormat="1" applyFont="1" applyFill="1" applyBorder="1" applyAlignment="1">
      <alignment vertical="center"/>
    </xf>
    <xf numFmtId="0" fontId="14" fillId="33" borderId="10" xfId="81" applyFont="1" applyFill="1" applyBorder="1" applyAlignment="1">
      <alignment horizontal="center" vertical="center"/>
    </xf>
    <xf numFmtId="0" fontId="14" fillId="33" borderId="10" xfId="81" applyFont="1" applyFill="1" applyBorder="1" applyAlignment="1">
      <alignment vertical="center" wrapText="1"/>
    </xf>
    <xf numFmtId="3" fontId="9" fillId="33" borderId="0" xfId="81" applyNumberFormat="1" applyFont="1" applyFill="1" applyBorder="1" applyAlignment="1">
      <alignment vertical="center"/>
    </xf>
    <xf numFmtId="0" fontId="14" fillId="0" borderId="10" xfId="83" applyFont="1" applyFill="1" applyBorder="1" applyAlignment="1">
      <alignment horizontal="justify" vertical="center" wrapText="1"/>
    </xf>
    <xf numFmtId="3" fontId="14" fillId="0" borderId="10" xfId="81" applyNumberFormat="1" applyFont="1" applyFill="1" applyBorder="1" applyAlignment="1">
      <alignment vertical="center"/>
    </xf>
    <xf numFmtId="0" fontId="14" fillId="33" borderId="46" xfId="81" applyFont="1" applyFill="1" applyBorder="1" applyAlignment="1">
      <alignment horizontal="center" vertical="center" wrapText="1"/>
    </xf>
    <xf numFmtId="3" fontId="9" fillId="31" borderId="46" xfId="81" applyNumberFormat="1" applyFont="1" applyFill="1" applyBorder="1" applyAlignment="1">
      <alignment horizontal="right" vertical="center"/>
    </xf>
    <xf numFmtId="0" fontId="14" fillId="0" borderId="10" xfId="81" applyFont="1" applyFill="1" applyBorder="1" applyAlignment="1">
      <alignment vertical="center"/>
    </xf>
    <xf numFmtId="0" fontId="9" fillId="0" borderId="10" xfId="81" applyFont="1" applyFill="1" applyBorder="1" applyAlignment="1">
      <alignment horizontal="left"/>
    </xf>
    <xf numFmtId="0" fontId="9" fillId="0" borderId="10" xfId="81" applyFont="1" applyFill="1" applyBorder="1" applyAlignment="1">
      <alignment horizontal="center" vertical="center"/>
    </xf>
    <xf numFmtId="0" fontId="14" fillId="0" borderId="10" xfId="81" applyFont="1" applyFill="1" applyBorder="1" applyAlignment="1">
      <alignment horizontal="right"/>
    </xf>
    <xf numFmtId="0" fontId="9" fillId="0" borderId="31" xfId="81" applyFont="1" applyFill="1" applyBorder="1" applyAlignment="1">
      <alignment horizontal="center" vertical="center" wrapText="1"/>
    </xf>
    <xf numFmtId="0" fontId="9" fillId="0" borderId="32" xfId="81" applyFont="1" applyFill="1" applyBorder="1" applyAlignment="1">
      <alignment horizontal="center" vertical="center" wrapText="1"/>
    </xf>
    <xf numFmtId="167" fontId="9" fillId="0" borderId="23" xfId="81" applyNumberFormat="1" applyFont="1" applyFill="1" applyBorder="1" applyAlignment="1">
      <alignment horizontal="center" vertical="center" wrapText="1"/>
    </xf>
    <xf numFmtId="0" fontId="9" fillId="0" borderId="33" xfId="81" applyFont="1" applyFill="1" applyBorder="1" applyAlignment="1">
      <alignment horizontal="center" vertical="center" wrapText="1"/>
    </xf>
    <xf numFmtId="0" fontId="14" fillId="0" borderId="10" xfId="81" applyFont="1" applyFill="1" applyBorder="1" applyAlignment="1">
      <alignment vertical="center" wrapText="1"/>
    </xf>
    <xf numFmtId="3" fontId="14" fillId="0" borderId="35" xfId="81" applyNumberFormat="1" applyFont="1" applyFill="1" applyBorder="1" applyAlignment="1">
      <alignment horizontal="right" vertical="center"/>
    </xf>
    <xf numFmtId="0" fontId="14" fillId="0" borderId="74" xfId="81" applyFont="1" applyFill="1" applyBorder="1" applyAlignment="1">
      <alignment horizontal="center" vertical="center"/>
    </xf>
    <xf numFmtId="0" fontId="9" fillId="0" borderId="0" xfId="81" applyFont="1" applyFill="1" applyBorder="1" applyAlignment="1">
      <alignment horizontal="left"/>
    </xf>
    <xf numFmtId="167" fontId="9" fillId="0" borderId="0" xfId="81" applyNumberFormat="1" applyFont="1" applyFill="1" applyBorder="1" applyAlignment="1">
      <alignment vertical="center"/>
    </xf>
    <xf numFmtId="3" fontId="14" fillId="0" borderId="0" xfId="81" applyNumberFormat="1" applyFont="1" applyFill="1" applyAlignment="1">
      <alignment horizontal="right"/>
    </xf>
    <xf numFmtId="0" fontId="14" fillId="33" borderId="10" xfId="83" applyFont="1" applyFill="1" applyBorder="1" applyAlignment="1">
      <alignment vertical="center" wrapText="1"/>
    </xf>
    <xf numFmtId="3" fontId="14" fillId="33" borderId="0" xfId="81" applyNumberFormat="1" applyFont="1" applyFill="1" applyBorder="1" applyAlignment="1">
      <alignment vertical="center"/>
    </xf>
    <xf numFmtId="0" fontId="14" fillId="33" borderId="0" xfId="81" applyFont="1" applyFill="1" applyBorder="1" applyAlignment="1">
      <alignment vertical="center"/>
    </xf>
    <xf numFmtId="2" fontId="14" fillId="33" borderId="10" xfId="81" applyNumberFormat="1" applyFont="1" applyFill="1" applyBorder="1" applyAlignment="1">
      <alignment vertical="center"/>
    </xf>
    <xf numFmtId="0" fontId="14" fillId="0" borderId="10" xfId="81" applyFont="1" applyFill="1" applyBorder="1" applyAlignment="1">
      <alignment horizontal="center" vertical="center"/>
    </xf>
    <xf numFmtId="3" fontId="9" fillId="0" borderId="0" xfId="81" applyNumberFormat="1" applyFont="1" applyFill="1" applyAlignment="1">
      <alignment vertical="center"/>
    </xf>
    <xf numFmtId="167" fontId="14" fillId="0" borderId="0" xfId="81" applyNumberFormat="1" applyFont="1" applyFill="1"/>
    <xf numFmtId="4" fontId="14" fillId="0" borderId="0" xfId="81" applyNumberFormat="1" applyFont="1" applyFill="1"/>
    <xf numFmtId="167" fontId="14" fillId="0" borderId="10" xfId="81" applyNumberFormat="1" applyFont="1" applyFill="1" applyBorder="1"/>
    <xf numFmtId="3" fontId="14" fillId="0" borderId="10" xfId="81" applyNumberFormat="1" applyFont="1" applyFill="1" applyBorder="1" applyAlignment="1">
      <alignment horizontal="right"/>
    </xf>
    <xf numFmtId="3" fontId="9" fillId="31" borderId="10" xfId="81" applyNumberFormat="1" applyFont="1" applyFill="1" applyBorder="1" applyAlignment="1">
      <alignment horizontal="right"/>
    </xf>
    <xf numFmtId="0" fontId="14" fillId="0" borderId="0" xfId="81" applyFont="1" applyFill="1" applyAlignment="1">
      <alignment wrapText="1"/>
    </xf>
    <xf numFmtId="0" fontId="51" fillId="0" borderId="0" xfId="81" applyFont="1" applyFill="1" applyAlignment="1">
      <alignment vertical="center" wrapText="1"/>
    </xf>
    <xf numFmtId="0" fontId="45" fillId="0" borderId="0" xfId="0" applyFont="1" applyAlignment="1">
      <alignment horizontal="center"/>
    </xf>
    <xf numFmtId="0" fontId="17" fillId="0" borderId="18" xfId="76" applyFont="1" applyFill="1" applyBorder="1" applyAlignment="1">
      <alignment horizontal="center" vertical="center" wrapText="1"/>
    </xf>
    <xf numFmtId="0" fontId="16" fillId="0" borderId="0" xfId="76" applyFont="1" applyAlignment="1">
      <alignment vertical="center" wrapText="1"/>
    </xf>
    <xf numFmtId="0" fontId="58" fillId="0" borderId="72" xfId="76" applyFont="1" applyFill="1" applyBorder="1" applyAlignment="1">
      <alignment horizontal="center" vertical="center"/>
    </xf>
    <xf numFmtId="0" fontId="14" fillId="0" borderId="37" xfId="76" applyFont="1" applyFill="1" applyBorder="1" applyAlignment="1">
      <alignment horizontal="justify" wrapText="1"/>
    </xf>
    <xf numFmtId="0" fontId="14" fillId="0" borderId="75" xfId="50" applyFont="1" applyBorder="1" applyAlignment="1">
      <alignment horizontal="justify" wrapText="1"/>
    </xf>
    <xf numFmtId="0" fontId="14" fillId="0" borderId="10" xfId="76" applyFont="1" applyFill="1" applyBorder="1" applyAlignment="1">
      <alignment horizontal="center" vertical="center"/>
    </xf>
    <xf numFmtId="3" fontId="128" fillId="0" borderId="0" xfId="76" applyNumberFormat="1" applyFont="1"/>
    <xf numFmtId="49" fontId="13" fillId="0" borderId="0" xfId="76" applyNumberFormat="1" applyFont="1"/>
    <xf numFmtId="49" fontId="10" fillId="0" borderId="0" xfId="76" applyNumberFormat="1" applyFont="1" applyAlignment="1">
      <alignment horizontal="center"/>
    </xf>
    <xf numFmtId="165" fontId="55" fillId="0" borderId="0" xfId="87" applyNumberFormat="1" applyFont="1"/>
    <xf numFmtId="49" fontId="13" fillId="0" borderId="0" xfId="76" applyNumberFormat="1" applyFont="1" applyAlignment="1">
      <alignment horizontal="center"/>
    </xf>
    <xf numFmtId="0" fontId="58" fillId="34" borderId="61" xfId="76" applyFont="1" applyFill="1" applyBorder="1" applyAlignment="1">
      <alignment vertical="center" wrapText="1"/>
    </xf>
    <xf numFmtId="3" fontId="9" fillId="34" borderId="36" xfId="76" applyNumberFormat="1" applyFont="1" applyFill="1" applyBorder="1" applyAlignment="1">
      <alignment horizontal="right" vertical="center"/>
    </xf>
    <xf numFmtId="0" fontId="9" fillId="0" borderId="10" xfId="76" applyFont="1" applyFill="1" applyBorder="1" applyAlignment="1">
      <alignment horizontal="left" vertical="center"/>
    </xf>
    <xf numFmtId="49" fontId="13" fillId="0" borderId="10" xfId="76" applyNumberFormat="1" applyFont="1" applyBorder="1" applyAlignment="1">
      <alignment horizontal="center"/>
    </xf>
    <xf numFmtId="0" fontId="13" fillId="0" borderId="10" xfId="76" applyFont="1" applyBorder="1"/>
    <xf numFmtId="165" fontId="14" fillId="0" borderId="10" xfId="87" applyNumberFormat="1" applyFont="1" applyBorder="1"/>
    <xf numFmtId="49" fontId="13" fillId="0" borderId="10" xfId="76" applyNumberFormat="1" applyFont="1" applyBorder="1" applyAlignment="1">
      <alignment horizontal="center" vertical="center"/>
    </xf>
    <xf numFmtId="0" fontId="16" fillId="34" borderId="10" xfId="76" applyFont="1" applyFill="1" applyBorder="1" applyAlignment="1">
      <alignment vertical="center"/>
    </xf>
    <xf numFmtId="165" fontId="9" fillId="34" borderId="10" xfId="87" applyNumberFormat="1" applyFont="1" applyFill="1" applyBorder="1" applyAlignment="1">
      <alignment vertical="center"/>
    </xf>
    <xf numFmtId="0" fontId="9" fillId="0" borderId="40" xfId="76" applyFont="1" applyFill="1" applyBorder="1" applyAlignment="1">
      <alignment horizontal="left" vertical="center"/>
    </xf>
    <xf numFmtId="165" fontId="55" fillId="0" borderId="47" xfId="87" applyNumberFormat="1" applyFont="1" applyBorder="1"/>
    <xf numFmtId="49" fontId="13" fillId="0" borderId="26" xfId="76" applyNumberFormat="1" applyFont="1" applyBorder="1" applyAlignment="1">
      <alignment horizontal="center"/>
    </xf>
    <xf numFmtId="165" fontId="14" fillId="0" borderId="27" xfId="87" applyNumberFormat="1" applyFont="1" applyBorder="1"/>
    <xf numFmtId="49" fontId="13" fillId="0" borderId="34" xfId="76" applyNumberFormat="1" applyFont="1" applyBorder="1" applyAlignment="1">
      <alignment horizontal="center" vertical="center"/>
    </xf>
    <xf numFmtId="0" fontId="16" fillId="34" borderId="35" xfId="76" applyFont="1" applyFill="1" applyBorder="1" applyAlignment="1">
      <alignment vertical="center"/>
    </xf>
    <xf numFmtId="165" fontId="9" fillId="34" borderId="36" xfId="87" applyNumberFormat="1" applyFont="1" applyFill="1" applyBorder="1" applyAlignment="1">
      <alignment vertical="center"/>
    </xf>
    <xf numFmtId="165" fontId="9" fillId="0" borderId="0" xfId="87" applyNumberFormat="1" applyFont="1"/>
    <xf numFmtId="49" fontId="13" fillId="33" borderId="30" xfId="76" applyNumberFormat="1" applyFont="1" applyFill="1" applyBorder="1" applyAlignment="1">
      <alignment horizontal="center" vertical="center"/>
    </xf>
    <xf numFmtId="0" fontId="9" fillId="34" borderId="22" xfId="76" applyFont="1" applyFill="1" applyBorder="1" applyAlignment="1">
      <alignment vertical="center"/>
    </xf>
    <xf numFmtId="165" fontId="9" fillId="34" borderId="28" xfId="87" applyNumberFormat="1" applyFont="1" applyFill="1" applyBorder="1" applyAlignment="1">
      <alignment vertical="center"/>
    </xf>
    <xf numFmtId="49" fontId="13" fillId="0" borderId="30" xfId="76" applyNumberFormat="1" applyFont="1" applyBorder="1" applyAlignment="1">
      <alignment horizontal="center" vertical="center"/>
    </xf>
    <xf numFmtId="0" fontId="16" fillId="34" borderId="22" xfId="76" applyFont="1" applyFill="1" applyBorder="1" applyAlignment="1">
      <alignment vertical="center"/>
    </xf>
    <xf numFmtId="3" fontId="46" fillId="0" borderId="19" xfId="45" applyNumberFormat="1" applyFont="1" applyFill="1" applyBorder="1"/>
    <xf numFmtId="3" fontId="17" fillId="26" borderId="19" xfId="45" applyNumberFormat="1" applyFont="1" applyFill="1" applyBorder="1"/>
    <xf numFmtId="3" fontId="46" fillId="0" borderId="19" xfId="45" applyNumberFormat="1" applyFont="1" applyBorder="1"/>
    <xf numFmtId="3" fontId="46" fillId="0" borderId="19" xfId="45" applyNumberFormat="1" applyFont="1" applyFill="1" applyBorder="1" applyAlignment="1">
      <alignment vertical="center"/>
    </xf>
    <xf numFmtId="3" fontId="17" fillId="24" borderId="19" xfId="0" applyNumberFormat="1" applyFont="1" applyFill="1" applyBorder="1"/>
    <xf numFmtId="3" fontId="17" fillId="28" borderId="19" xfId="0" applyNumberFormat="1" applyFont="1" applyFill="1" applyBorder="1"/>
    <xf numFmtId="3" fontId="17" fillId="0" borderId="19" xfId="45" applyNumberFormat="1" applyFont="1" applyFill="1" applyBorder="1"/>
    <xf numFmtId="3" fontId="17" fillId="24" borderId="19" xfId="45" applyNumberFormat="1" applyFont="1" applyFill="1" applyBorder="1"/>
    <xf numFmtId="3" fontId="17" fillId="27" borderId="67" xfId="0" applyNumberFormat="1" applyFont="1" applyFill="1" applyBorder="1"/>
    <xf numFmtId="0" fontId="77" fillId="0" borderId="58" xfId="45" applyFont="1" applyBorder="1" applyAlignment="1">
      <alignment horizontal="center" vertical="center" wrapText="1"/>
    </xf>
    <xf numFmtId="0" fontId="77" fillId="0" borderId="55" xfId="45" applyFont="1" applyBorder="1" applyAlignment="1">
      <alignment horizontal="center" vertical="center" wrapText="1"/>
    </xf>
    <xf numFmtId="3" fontId="46" fillId="0" borderId="43" xfId="45" applyNumberFormat="1" applyFont="1" applyFill="1" applyBorder="1"/>
    <xf numFmtId="3" fontId="46" fillId="0" borderId="20" xfId="45" applyNumberFormat="1" applyFont="1" applyFill="1" applyBorder="1"/>
    <xf numFmtId="49" fontId="46" fillId="0" borderId="14" xfId="0" applyNumberFormat="1" applyFont="1" applyFill="1" applyBorder="1" applyAlignment="1">
      <alignment vertical="center" wrapText="1"/>
    </xf>
    <xf numFmtId="0" fontId="60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49" fontId="55" fillId="0" borderId="0" xfId="0" applyNumberFormat="1" applyFont="1" applyAlignment="1">
      <alignment vertical="center"/>
    </xf>
    <xf numFmtId="0" fontId="55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49" fontId="54" fillId="0" borderId="26" xfId="0" applyNumberFormat="1" applyFont="1" applyFill="1" applyBorder="1" applyAlignment="1">
      <alignment horizontal="center" vertical="center"/>
    </xf>
    <xf numFmtId="49" fontId="54" fillId="0" borderId="10" xfId="0" applyNumberFormat="1" applyFont="1" applyFill="1" applyBorder="1" applyAlignment="1">
      <alignment vertical="center"/>
    </xf>
    <xf numFmtId="0" fontId="54" fillId="0" borderId="14" xfId="0" applyFont="1" applyFill="1" applyBorder="1" applyAlignment="1">
      <alignment vertical="center" wrapText="1"/>
    </xf>
    <xf numFmtId="3" fontId="102" fillId="0" borderId="27" xfId="45" applyNumberFormat="1" applyFont="1" applyFill="1" applyBorder="1" applyAlignment="1">
      <alignment horizontal="right" vertical="center" wrapText="1"/>
    </xf>
    <xf numFmtId="49" fontId="53" fillId="26" borderId="26" xfId="0" applyNumberFormat="1" applyFont="1" applyFill="1" applyBorder="1" applyAlignment="1">
      <alignment horizontal="center" vertical="center"/>
    </xf>
    <xf numFmtId="49" fontId="53" fillId="26" borderId="10" xfId="0" applyNumberFormat="1" applyFont="1" applyFill="1" applyBorder="1" applyAlignment="1">
      <alignment vertical="center"/>
    </xf>
    <xf numFmtId="0" fontId="53" fillId="26" borderId="14" xfId="0" applyFont="1" applyFill="1" applyBorder="1" applyAlignment="1">
      <alignment horizontal="left" vertical="center" wrapText="1"/>
    </xf>
    <xf numFmtId="3" fontId="103" fillId="26" borderId="27" xfId="0" applyNumberFormat="1" applyFont="1" applyFill="1" applyBorder="1" applyAlignment="1">
      <alignment horizontal="right" vertical="center"/>
    </xf>
    <xf numFmtId="3" fontId="103" fillId="26" borderId="26" xfId="0" applyNumberFormat="1" applyFont="1" applyFill="1" applyBorder="1" applyAlignment="1">
      <alignment horizontal="right" vertical="center"/>
    </xf>
    <xf numFmtId="3" fontId="102" fillId="0" borderId="27" xfId="0" applyNumberFormat="1" applyFont="1" applyFill="1" applyBorder="1" applyAlignment="1">
      <alignment horizontal="right" vertical="center"/>
    </xf>
    <xf numFmtId="0" fontId="54" fillId="0" borderId="14" xfId="67" applyFont="1" applyFill="1" applyBorder="1" applyAlignment="1">
      <alignment vertical="center" wrapText="1"/>
    </xf>
    <xf numFmtId="0" fontId="54" fillId="0" borderId="14" xfId="0" applyFont="1" applyFill="1" applyBorder="1" applyAlignment="1">
      <alignment horizontal="left" vertical="center" wrapText="1"/>
    </xf>
    <xf numFmtId="49" fontId="53" fillId="24" borderId="34" xfId="0" applyNumberFormat="1" applyFont="1" applyFill="1" applyBorder="1" applyAlignment="1">
      <alignment horizontal="center" vertical="center"/>
    </xf>
    <xf numFmtId="49" fontId="53" fillId="24" borderId="35" xfId="0" applyNumberFormat="1" applyFont="1" applyFill="1" applyBorder="1" applyAlignment="1">
      <alignment vertical="center"/>
    </xf>
    <xf numFmtId="0" fontId="53" fillId="24" borderId="41" xfId="0" applyFont="1" applyFill="1" applyBorder="1" applyAlignment="1">
      <alignment horizontal="left" vertical="center" wrapText="1"/>
    </xf>
    <xf numFmtId="3" fontId="103" fillId="24" borderId="36" xfId="0" applyNumberFormat="1" applyFont="1" applyFill="1" applyBorder="1" applyAlignment="1">
      <alignment horizontal="right" vertical="center"/>
    </xf>
    <xf numFmtId="3" fontId="103" fillId="24" borderId="34" xfId="0" applyNumberFormat="1" applyFont="1" applyFill="1" applyBorder="1" applyAlignment="1">
      <alignment horizontal="right" vertical="center"/>
    </xf>
    <xf numFmtId="3" fontId="46" fillId="0" borderId="20" xfId="0" applyNumberFormat="1" applyFont="1" applyFill="1" applyBorder="1" applyAlignment="1">
      <alignment horizontal="right"/>
    </xf>
    <xf numFmtId="3" fontId="46" fillId="0" borderId="19" xfId="0" applyNumberFormat="1" applyFont="1" applyFill="1" applyBorder="1" applyAlignment="1">
      <alignment horizontal="right"/>
    </xf>
    <xf numFmtId="3" fontId="17" fillId="0" borderId="19" xfId="0" applyNumberFormat="1" applyFont="1" applyFill="1" applyBorder="1" applyAlignment="1">
      <alignment horizontal="right"/>
    </xf>
    <xf numFmtId="3" fontId="17" fillId="26" borderId="19" xfId="0" applyNumberFormat="1" applyFont="1" applyFill="1" applyBorder="1" applyAlignment="1">
      <alignment horizontal="right"/>
    </xf>
    <xf numFmtId="3" fontId="17" fillId="24" borderId="19" xfId="0" applyNumberFormat="1" applyFont="1" applyFill="1" applyBorder="1" applyAlignment="1">
      <alignment horizontal="right"/>
    </xf>
    <xf numFmtId="3" fontId="46" fillId="0" borderId="19" xfId="0" applyNumberFormat="1" applyFont="1" applyFill="1" applyBorder="1" applyAlignment="1">
      <alignment horizontal="right" vertical="center"/>
    </xf>
    <xf numFmtId="3" fontId="46" fillId="0" borderId="43" xfId="0" applyNumberFormat="1" applyFont="1" applyFill="1" applyBorder="1" applyAlignment="1">
      <alignment horizontal="right"/>
    </xf>
    <xf numFmtId="0" fontId="16" fillId="38" borderId="45" xfId="76" applyFont="1" applyFill="1" applyBorder="1" applyAlignment="1">
      <alignment vertical="center"/>
    </xf>
    <xf numFmtId="165" fontId="9" fillId="38" borderId="49" xfId="87" applyNumberFormat="1" applyFont="1" applyFill="1" applyBorder="1" applyAlignment="1">
      <alignment vertical="center"/>
    </xf>
    <xf numFmtId="49" fontId="13" fillId="0" borderId="44" xfId="76" applyNumberFormat="1" applyFont="1" applyBorder="1" applyAlignment="1">
      <alignment horizontal="center" vertical="center"/>
    </xf>
    <xf numFmtId="0" fontId="14" fillId="0" borderId="16" xfId="76" applyFont="1" applyFill="1" applyBorder="1" applyAlignment="1">
      <alignment horizontal="center" vertical="center"/>
    </xf>
    <xf numFmtId="0" fontId="14" fillId="34" borderId="18" xfId="76" applyFont="1" applyFill="1" applyBorder="1" applyAlignment="1">
      <alignment horizontal="justify" wrapText="1"/>
    </xf>
    <xf numFmtId="3" fontId="9" fillId="34" borderId="21" xfId="76" applyNumberFormat="1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 vertical="center" wrapText="1"/>
    </xf>
    <xf numFmtId="3" fontId="37" fillId="0" borderId="0" xfId="57" applyNumberFormat="1" applyFont="1"/>
    <xf numFmtId="3" fontId="14" fillId="0" borderId="10" xfId="57" applyNumberFormat="1" applyFont="1" applyBorder="1" applyAlignment="1">
      <alignment horizontal="right" vertical="center"/>
    </xf>
    <xf numFmtId="3" fontId="14" fillId="0" borderId="29" xfId="57" applyNumberFormat="1" applyFont="1" applyBorder="1" applyAlignment="1">
      <alignment horizontal="right" vertical="center" wrapText="1"/>
    </xf>
    <xf numFmtId="3" fontId="14" fillId="0" borderId="23" xfId="57" applyNumberFormat="1" applyFont="1" applyBorder="1" applyAlignment="1">
      <alignment vertical="center"/>
    </xf>
    <xf numFmtId="49" fontId="130" fillId="0" borderId="10" xfId="46" applyNumberFormat="1" applyFont="1" applyFill="1" applyBorder="1" applyAlignment="1">
      <alignment horizontal="center" vertical="center" wrapText="1"/>
    </xf>
    <xf numFmtId="0" fontId="9" fillId="0" borderId="65" xfId="81" applyFont="1" applyFill="1" applyBorder="1" applyAlignment="1">
      <alignment horizontal="center" vertical="center" wrapText="1"/>
    </xf>
    <xf numFmtId="0" fontId="9" fillId="0" borderId="0" xfId="81" applyFont="1" applyFill="1" applyBorder="1" applyAlignment="1">
      <alignment horizontal="center" vertical="center" wrapText="1"/>
    </xf>
    <xf numFmtId="49" fontId="13" fillId="0" borderId="16" xfId="76" applyNumberFormat="1" applyFont="1" applyBorder="1" applyAlignment="1">
      <alignment horizontal="center" vertical="center"/>
    </xf>
    <xf numFmtId="0" fontId="16" fillId="38" borderId="17" xfId="76" applyFont="1" applyFill="1" applyBorder="1" applyAlignment="1">
      <alignment vertical="center"/>
    </xf>
    <xf numFmtId="165" fontId="9" fillId="38" borderId="15" xfId="87" applyNumberFormat="1" applyFont="1" applyFill="1" applyBorder="1" applyAlignment="1">
      <alignment vertical="center"/>
    </xf>
    <xf numFmtId="3" fontId="17" fillId="0" borderId="37" xfId="0" applyNumberFormat="1" applyFont="1" applyFill="1" applyBorder="1" applyAlignment="1">
      <alignment horizontal="right"/>
    </xf>
    <xf numFmtId="3" fontId="46" fillId="0" borderId="37" xfId="0" applyNumberFormat="1" applyFont="1" applyFill="1" applyBorder="1" applyAlignment="1">
      <alignment horizontal="right"/>
    </xf>
    <xf numFmtId="3" fontId="17" fillId="26" borderId="37" xfId="0" applyNumberFormat="1" applyFont="1" applyFill="1" applyBorder="1" applyAlignment="1">
      <alignment horizontal="right"/>
    </xf>
    <xf numFmtId="3" fontId="17" fillId="24" borderId="37" xfId="0" applyNumberFormat="1" applyFont="1" applyFill="1" applyBorder="1" applyAlignment="1">
      <alignment horizontal="right"/>
    </xf>
    <xf numFmtId="3" fontId="46" fillId="0" borderId="37" xfId="0" applyNumberFormat="1" applyFont="1" applyFill="1" applyBorder="1" applyAlignment="1">
      <alignment horizontal="right" vertical="center"/>
    </xf>
    <xf numFmtId="3" fontId="46" fillId="0" borderId="65" xfId="0" applyNumberFormat="1" applyFont="1" applyFill="1" applyBorder="1" applyAlignment="1">
      <alignment horizontal="right"/>
    </xf>
    <xf numFmtId="3" fontId="46" fillId="0" borderId="51" xfId="0" applyNumberFormat="1" applyFont="1" applyFill="1" applyBorder="1" applyAlignment="1">
      <alignment horizontal="right"/>
    </xf>
    <xf numFmtId="3" fontId="17" fillId="0" borderId="13" xfId="79" applyNumberFormat="1" applyFont="1" applyFill="1" applyBorder="1" applyAlignment="1">
      <alignment horizontal="right"/>
    </xf>
    <xf numFmtId="3" fontId="17" fillId="0" borderId="14" xfId="79" applyNumberFormat="1" applyFont="1" applyFill="1" applyBorder="1" applyAlignment="1">
      <alignment horizontal="right"/>
    </xf>
    <xf numFmtId="3" fontId="46" fillId="0" borderId="14" xfId="79" applyNumberFormat="1" applyFont="1" applyFill="1" applyBorder="1" applyAlignment="1">
      <alignment horizontal="right"/>
    </xf>
    <xf numFmtId="3" fontId="94" fillId="0" borderId="14" xfId="45" applyNumberFormat="1" applyFont="1" applyFill="1" applyBorder="1" applyAlignment="1">
      <alignment horizontal="right"/>
    </xf>
    <xf numFmtId="3" fontId="17" fillId="26" borderId="14" xfId="45" applyNumberFormat="1" applyFont="1" applyFill="1" applyBorder="1" applyAlignment="1">
      <alignment horizontal="right"/>
    </xf>
    <xf numFmtId="3" fontId="17" fillId="24" borderId="14" xfId="0" applyNumberFormat="1" applyFont="1" applyFill="1" applyBorder="1" applyAlignment="1">
      <alignment horizontal="right"/>
    </xf>
    <xf numFmtId="3" fontId="46" fillId="28" borderId="14" xfId="0" applyNumberFormat="1" applyFont="1" applyFill="1" applyBorder="1" applyAlignment="1">
      <alignment horizontal="right"/>
    </xf>
    <xf numFmtId="3" fontId="46" fillId="0" borderId="14" xfId="45" applyNumberFormat="1" applyFont="1" applyBorder="1" applyAlignment="1">
      <alignment horizontal="right"/>
    </xf>
    <xf numFmtId="3" fontId="17" fillId="0" borderId="14" xfId="45" applyNumberFormat="1" applyFont="1" applyBorder="1" applyAlignment="1">
      <alignment horizontal="right"/>
    </xf>
    <xf numFmtId="3" fontId="17" fillId="27" borderId="14" xfId="0" applyNumberFormat="1" applyFont="1" applyFill="1" applyBorder="1" applyAlignment="1">
      <alignment horizontal="right"/>
    </xf>
    <xf numFmtId="3" fontId="17" fillId="27" borderId="41" xfId="0" applyNumberFormat="1" applyFont="1" applyFill="1" applyBorder="1" applyAlignment="1">
      <alignment horizontal="right"/>
    </xf>
    <xf numFmtId="0" fontId="17" fillId="0" borderId="58" xfId="45" applyFont="1" applyFill="1" applyBorder="1" applyAlignment="1">
      <alignment horizontal="center" vertical="center" wrapText="1"/>
    </xf>
    <xf numFmtId="0" fontId="17" fillId="0" borderId="55" xfId="45" applyFont="1" applyFill="1" applyBorder="1" applyAlignment="1">
      <alignment horizontal="center" vertical="center" wrapText="1"/>
    </xf>
    <xf numFmtId="3" fontId="17" fillId="0" borderId="53" xfId="79" applyNumberFormat="1" applyFont="1" applyFill="1" applyBorder="1" applyAlignment="1">
      <alignment horizontal="right"/>
    </xf>
    <xf numFmtId="0" fontId="77" fillId="0" borderId="55" xfId="45" applyFont="1" applyFill="1" applyBorder="1" applyAlignment="1">
      <alignment horizontal="center" vertical="center" wrapText="1"/>
    </xf>
    <xf numFmtId="0" fontId="17" fillId="0" borderId="68" xfId="45" applyFont="1" applyFill="1" applyBorder="1" applyAlignment="1">
      <alignment horizontal="center" vertical="center" wrapText="1"/>
    </xf>
    <xf numFmtId="0" fontId="77" fillId="0" borderId="73" xfId="45" applyFont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left" vertical="top" wrapText="1"/>
    </xf>
    <xf numFmtId="3" fontId="62" fillId="0" borderId="20" xfId="0" applyNumberFormat="1" applyFont="1" applyFill="1" applyBorder="1" applyAlignment="1">
      <alignment horizontal="right" vertical="center"/>
    </xf>
    <xf numFmtId="3" fontId="62" fillId="0" borderId="19" xfId="0" applyNumberFormat="1" applyFont="1" applyFill="1" applyBorder="1" applyAlignment="1">
      <alignment horizontal="right" vertical="center"/>
    </xf>
    <xf numFmtId="3" fontId="62" fillId="0" borderId="71" xfId="0" applyNumberFormat="1" applyFont="1" applyFill="1" applyBorder="1" applyAlignment="1">
      <alignment horizontal="right" vertical="center"/>
    </xf>
    <xf numFmtId="3" fontId="52" fillId="29" borderId="21" xfId="0" applyNumberFormat="1" applyFont="1" applyFill="1" applyBorder="1" applyAlignment="1">
      <alignment horizontal="right" vertical="center"/>
    </xf>
    <xf numFmtId="3" fontId="62" fillId="0" borderId="62" xfId="0" applyNumberFormat="1" applyFont="1" applyFill="1" applyBorder="1" applyAlignment="1">
      <alignment horizontal="right" vertical="center"/>
    </xf>
    <xf numFmtId="3" fontId="62" fillId="0" borderId="54" xfId="0" applyNumberFormat="1" applyFont="1" applyFill="1" applyBorder="1" applyAlignment="1">
      <alignment horizontal="right" vertical="center"/>
    </xf>
    <xf numFmtId="3" fontId="62" fillId="0" borderId="66" xfId="0" applyNumberFormat="1" applyFont="1" applyFill="1" applyBorder="1" applyAlignment="1">
      <alignment horizontal="right" vertical="center"/>
    </xf>
    <xf numFmtId="3" fontId="52" fillId="24" borderId="21" xfId="0" applyNumberFormat="1" applyFont="1" applyFill="1" applyBorder="1" applyAlignment="1">
      <alignment horizontal="right" vertical="center"/>
    </xf>
    <xf numFmtId="3" fontId="62" fillId="0" borderId="46" xfId="0" applyNumberFormat="1" applyFont="1" applyFill="1" applyBorder="1" applyAlignment="1">
      <alignment horizontal="right" vertical="center"/>
    </xf>
    <xf numFmtId="3" fontId="52" fillId="24" borderId="10" xfId="0" applyNumberFormat="1" applyFont="1" applyFill="1" applyBorder="1" applyAlignment="1">
      <alignment horizontal="right" vertical="center"/>
    </xf>
    <xf numFmtId="0" fontId="54" fillId="0" borderId="23" xfId="0" applyFont="1" applyFill="1" applyBorder="1" applyAlignment="1">
      <alignment horizontal="left" vertical="center" wrapText="1"/>
    </xf>
    <xf numFmtId="49" fontId="77" fillId="29" borderId="11" xfId="0" applyNumberFormat="1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left" vertical="center"/>
    </xf>
    <xf numFmtId="0" fontId="54" fillId="0" borderId="22" xfId="62" applyFont="1" applyBorder="1" applyAlignment="1">
      <alignment horizontal="justify" vertical="center"/>
    </xf>
    <xf numFmtId="0" fontId="53" fillId="24" borderId="45" xfId="0" applyFont="1" applyFill="1" applyBorder="1" applyAlignment="1">
      <alignment horizontal="left" vertical="center" wrapText="1"/>
    </xf>
    <xf numFmtId="3" fontId="52" fillId="24" borderId="71" xfId="0" applyNumberFormat="1" applyFont="1" applyFill="1" applyBorder="1" applyAlignment="1">
      <alignment horizontal="right" vertical="center"/>
    </xf>
    <xf numFmtId="49" fontId="16" fillId="29" borderId="16" xfId="0" applyNumberFormat="1" applyFont="1" applyFill="1" applyBorder="1" applyAlignment="1">
      <alignment horizontal="center" vertical="center"/>
    </xf>
    <xf numFmtId="49" fontId="77" fillId="24" borderId="11" xfId="0" applyNumberFormat="1" applyFont="1" applyFill="1" applyBorder="1" applyAlignment="1">
      <alignment horizontal="center" vertical="center"/>
    </xf>
    <xf numFmtId="0" fontId="54" fillId="0" borderId="45" xfId="0" applyFont="1" applyFill="1" applyBorder="1" applyAlignment="1">
      <alignment vertical="center"/>
    </xf>
    <xf numFmtId="3" fontId="62" fillId="0" borderId="23" xfId="0" applyNumberFormat="1" applyFont="1" applyBorder="1" applyAlignment="1">
      <alignment horizontal="right" vertical="center"/>
    </xf>
    <xf numFmtId="0" fontId="54" fillId="0" borderId="46" xfId="0" applyFont="1" applyFill="1" applyBorder="1" applyAlignment="1">
      <alignment vertical="center"/>
    </xf>
    <xf numFmtId="3" fontId="62" fillId="0" borderId="78" xfId="0" applyNumberFormat="1" applyFont="1" applyFill="1" applyBorder="1" applyAlignment="1">
      <alignment horizontal="right" vertical="center"/>
    </xf>
    <xf numFmtId="0" fontId="13" fillId="0" borderId="60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49" fontId="76" fillId="0" borderId="57" xfId="0" applyNumberFormat="1" applyFont="1" applyFill="1" applyBorder="1" applyAlignment="1">
      <alignment horizontal="center" vertical="center"/>
    </xf>
    <xf numFmtId="168" fontId="76" fillId="0" borderId="56" xfId="0" applyNumberFormat="1" applyFont="1" applyFill="1" applyBorder="1" applyAlignment="1">
      <alignment horizontal="center" vertical="center"/>
    </xf>
    <xf numFmtId="168" fontId="76" fillId="0" borderId="11" xfId="0" applyNumberFormat="1" applyFont="1" applyFill="1" applyBorder="1" applyAlignment="1">
      <alignment horizontal="center" vertical="center"/>
    </xf>
    <xf numFmtId="3" fontId="62" fillId="0" borderId="40" xfId="0" applyNumberFormat="1" applyFont="1" applyFill="1" applyBorder="1" applyAlignment="1">
      <alignment horizontal="right" vertical="center"/>
    </xf>
    <xf numFmtId="0" fontId="13" fillId="0" borderId="31" xfId="0" applyFont="1" applyFill="1" applyBorder="1" applyAlignment="1">
      <alignment horizontal="center" vertical="center" wrapText="1"/>
    </xf>
    <xf numFmtId="49" fontId="76" fillId="0" borderId="25" xfId="0" applyNumberFormat="1" applyFont="1" applyFill="1" applyBorder="1" applyAlignment="1">
      <alignment horizontal="center" vertical="center"/>
    </xf>
    <xf numFmtId="49" fontId="76" fillId="0" borderId="30" xfId="0" applyNumberFormat="1" applyFont="1" applyFill="1" applyBorder="1" applyAlignment="1">
      <alignment horizontal="center" vertical="center"/>
    </xf>
    <xf numFmtId="168" fontId="76" fillId="0" borderId="31" xfId="0" applyNumberFormat="1" applyFont="1" applyFill="1" applyBorder="1" applyAlignment="1">
      <alignment horizontal="center" vertical="center"/>
    </xf>
    <xf numFmtId="168" fontId="76" fillId="0" borderId="44" xfId="0" applyNumberFormat="1" applyFont="1" applyFill="1" applyBorder="1" applyAlignment="1">
      <alignment horizontal="center" vertical="center"/>
    </xf>
    <xf numFmtId="168" fontId="76" fillId="0" borderId="58" xfId="0" applyNumberFormat="1" applyFont="1" applyFill="1" applyBorder="1" applyAlignment="1">
      <alignment horizontal="center" vertical="center"/>
    </xf>
    <xf numFmtId="49" fontId="77" fillId="24" borderId="44" xfId="0" applyNumberFormat="1" applyFont="1" applyFill="1" applyBorder="1" applyAlignment="1">
      <alignment horizontal="center" vertical="center"/>
    </xf>
    <xf numFmtId="3" fontId="52" fillId="24" borderId="45" xfId="0" applyNumberFormat="1" applyFont="1" applyFill="1" applyBorder="1" applyAlignment="1">
      <alignment horizontal="right" vertical="center"/>
    </xf>
    <xf numFmtId="169" fontId="16" fillId="0" borderId="46" xfId="67" applyNumberFormat="1" applyFont="1" applyFill="1" applyBorder="1" applyAlignment="1">
      <alignment horizontal="center" vertical="center" wrapText="1"/>
    </xf>
    <xf numFmtId="169" fontId="16" fillId="0" borderId="55" xfId="67" applyNumberFormat="1" applyFont="1" applyFill="1" applyBorder="1" applyAlignment="1">
      <alignment horizontal="center" vertical="center" wrapText="1"/>
    </xf>
    <xf numFmtId="3" fontId="17" fillId="29" borderId="76" xfId="30" applyNumberFormat="1" applyFont="1" applyFill="1" applyBorder="1" applyAlignment="1">
      <alignment horizontal="right" vertical="center"/>
    </xf>
    <xf numFmtId="3" fontId="17" fillId="29" borderId="49" xfId="30" applyNumberFormat="1" applyFont="1" applyFill="1" applyBorder="1" applyAlignment="1">
      <alignment horizontal="right" vertical="center"/>
    </xf>
    <xf numFmtId="3" fontId="46" fillId="0" borderId="10" xfId="67" applyNumberFormat="1" applyFont="1" applyFill="1" applyBorder="1" applyAlignment="1">
      <alignment vertical="center"/>
    </xf>
    <xf numFmtId="0" fontId="9" fillId="0" borderId="58" xfId="67" applyFont="1" applyFill="1" applyBorder="1" applyAlignment="1">
      <alignment horizontal="center" vertical="center" wrapText="1"/>
    </xf>
    <xf numFmtId="169" fontId="16" fillId="0" borderId="46" xfId="67" applyNumberFormat="1" applyFont="1" applyFill="1" applyBorder="1" applyAlignment="1">
      <alignment horizontal="center" vertical="center"/>
    </xf>
    <xf numFmtId="1" fontId="17" fillId="29" borderId="44" xfId="30" applyNumberFormat="1" applyFont="1" applyFill="1" applyBorder="1" applyAlignment="1">
      <alignment horizontal="center" vertical="center"/>
    </xf>
    <xf numFmtId="0" fontId="16" fillId="29" borderId="45" xfId="67" applyFont="1" applyFill="1" applyBorder="1" applyAlignment="1">
      <alignment vertical="center"/>
    </xf>
    <xf numFmtId="1" fontId="14" fillId="0" borderId="43" xfId="67" applyNumberFormat="1" applyFont="1" applyFill="1" applyBorder="1" applyAlignment="1">
      <alignment horizontal="center" vertical="center"/>
    </xf>
    <xf numFmtId="0" fontId="13" fillId="0" borderId="40" xfId="67" applyFont="1" applyFill="1" applyBorder="1" applyAlignment="1">
      <alignment vertical="center" wrapText="1"/>
    </xf>
    <xf numFmtId="3" fontId="46" fillId="0" borderId="40" xfId="67" applyNumberFormat="1" applyFont="1" applyFill="1" applyBorder="1" applyAlignment="1">
      <alignment vertical="center"/>
    </xf>
    <xf numFmtId="1" fontId="14" fillId="0" borderId="34" xfId="67" applyNumberFormat="1" applyFont="1" applyFill="1" applyBorder="1" applyAlignment="1">
      <alignment horizontal="center" vertical="center"/>
    </xf>
    <xf numFmtId="0" fontId="13" fillId="0" borderId="45" xfId="67" applyFont="1" applyFill="1" applyBorder="1" applyAlignment="1">
      <alignment vertical="center" wrapText="1"/>
    </xf>
    <xf numFmtId="3" fontId="46" fillId="0" borderId="35" xfId="67" applyNumberFormat="1" applyFont="1" applyFill="1" applyBorder="1" applyAlignment="1">
      <alignment vertical="center"/>
    </xf>
    <xf numFmtId="0" fontId="14" fillId="0" borderId="40" xfId="0" applyFont="1" applyFill="1" applyBorder="1" applyAlignment="1">
      <alignment horizontal="left" vertical="center"/>
    </xf>
    <xf numFmtId="3" fontId="62" fillId="0" borderId="20" xfId="46" applyNumberFormat="1" applyFont="1" applyFill="1" applyBorder="1" applyAlignment="1">
      <alignment horizontal="right" vertical="center" wrapText="1"/>
    </xf>
    <xf numFmtId="3" fontId="13" fillId="0" borderId="54" xfId="0" applyNumberFormat="1" applyFont="1" applyBorder="1"/>
    <xf numFmtId="3" fontId="52" fillId="0" borderId="19" xfId="46" applyNumberFormat="1" applyFont="1" applyFill="1" applyBorder="1" applyAlignment="1">
      <alignment horizontal="right" vertical="center" wrapText="1"/>
    </xf>
    <xf numFmtId="3" fontId="52" fillId="0" borderId="62" xfId="46" applyNumberFormat="1" applyFont="1" applyFill="1" applyBorder="1" applyAlignment="1">
      <alignment horizontal="right" vertical="center" wrapText="1"/>
    </xf>
    <xf numFmtId="0" fontId="9" fillId="0" borderId="46" xfId="46" applyFont="1" applyFill="1" applyBorder="1" applyAlignment="1">
      <alignment horizontal="center" vertical="center" wrapText="1"/>
    </xf>
    <xf numFmtId="3" fontId="52" fillId="0" borderId="10" xfId="46" applyNumberFormat="1" applyFont="1" applyFill="1" applyBorder="1" applyAlignment="1">
      <alignment horizontal="right" vertical="center" wrapText="1"/>
    </xf>
    <xf numFmtId="3" fontId="157" fillId="0" borderId="62" xfId="46" applyNumberFormat="1" applyFont="1" applyFill="1" applyBorder="1" applyAlignment="1">
      <alignment horizontal="right" vertical="center" wrapText="1"/>
    </xf>
    <xf numFmtId="3" fontId="52" fillId="0" borderId="10" xfId="0" applyNumberFormat="1" applyFont="1" applyBorder="1" applyAlignment="1">
      <alignment horizontal="right"/>
    </xf>
    <xf numFmtId="0" fontId="9" fillId="0" borderId="46" xfId="46" applyFont="1" applyFill="1" applyBorder="1" applyAlignment="1">
      <alignment horizontal="center" vertical="center"/>
    </xf>
    <xf numFmtId="0" fontId="9" fillId="0" borderId="78" xfId="46" applyFont="1" applyFill="1" applyBorder="1" applyAlignment="1">
      <alignment horizontal="center" vertical="center" wrapText="1"/>
    </xf>
    <xf numFmtId="3" fontId="62" fillId="0" borderId="40" xfId="46" applyNumberFormat="1" applyFont="1" applyFill="1" applyBorder="1" applyAlignment="1">
      <alignment horizontal="right" vertical="center" wrapText="1"/>
    </xf>
    <xf numFmtId="3" fontId="62" fillId="0" borderId="22" xfId="46" applyNumberFormat="1" applyFont="1" applyFill="1" applyBorder="1" applyAlignment="1">
      <alignment horizontal="right" vertical="center" wrapText="1"/>
    </xf>
    <xf numFmtId="3" fontId="157" fillId="0" borderId="54" xfId="46" applyNumberFormat="1" applyFont="1" applyFill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left" vertical="center" wrapText="1"/>
    </xf>
    <xf numFmtId="3" fontId="62" fillId="0" borderId="54" xfId="46" applyNumberFormat="1" applyFont="1" applyFill="1" applyBorder="1" applyAlignment="1">
      <alignment horizontal="right" vertical="center" wrapText="1"/>
    </xf>
    <xf numFmtId="0" fontId="9" fillId="24" borderId="45" xfId="0" applyFont="1" applyFill="1" applyBorder="1" applyAlignment="1">
      <alignment horizontal="left" vertical="center"/>
    </xf>
    <xf numFmtId="3" fontId="86" fillId="24" borderId="45" xfId="0" applyNumberFormat="1" applyFont="1" applyFill="1" applyBorder="1" applyAlignment="1">
      <alignment horizontal="right"/>
    </xf>
    <xf numFmtId="3" fontId="86" fillId="24" borderId="71" xfId="0" applyNumberFormat="1" applyFont="1" applyFill="1" applyBorder="1" applyAlignment="1">
      <alignment horizontal="right"/>
    </xf>
    <xf numFmtId="0" fontId="9" fillId="0" borderId="45" xfId="0" applyFont="1" applyFill="1" applyBorder="1" applyAlignment="1">
      <alignment horizontal="left" vertical="center" wrapText="1"/>
    </xf>
    <xf numFmtId="3" fontId="62" fillId="0" borderId="45" xfId="46" applyNumberFormat="1" applyFont="1" applyFill="1" applyBorder="1" applyAlignment="1">
      <alignment horizontal="right" vertical="center" wrapText="1"/>
    </xf>
    <xf numFmtId="3" fontId="62" fillId="0" borderId="71" xfId="46" applyNumberFormat="1" applyFont="1" applyFill="1" applyBorder="1" applyAlignment="1">
      <alignment horizontal="right" vertical="center" wrapText="1"/>
    </xf>
    <xf numFmtId="3" fontId="62" fillId="33" borderId="23" xfId="0" applyNumberFormat="1" applyFont="1" applyFill="1" applyBorder="1" applyAlignment="1">
      <alignment horizontal="right"/>
    </xf>
    <xf numFmtId="3" fontId="62" fillId="33" borderId="29" xfId="0" applyNumberFormat="1" applyFont="1" applyFill="1" applyBorder="1" applyAlignment="1">
      <alignment horizontal="right"/>
    </xf>
    <xf numFmtId="3" fontId="62" fillId="33" borderId="62" xfId="0" applyNumberFormat="1" applyFont="1" applyFill="1" applyBorder="1" applyAlignment="1">
      <alignment horizontal="right"/>
    </xf>
    <xf numFmtId="0" fontId="16" fillId="0" borderId="37" xfId="0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5" fillId="0" borderId="79" xfId="0" applyFont="1" applyFill="1" applyBorder="1" applyAlignment="1">
      <alignment horizontal="left" vertical="center" wrapText="1"/>
    </xf>
    <xf numFmtId="0" fontId="15" fillId="0" borderId="65" xfId="0" applyFont="1" applyFill="1" applyBorder="1" applyAlignment="1">
      <alignment horizontal="left" vertical="center" wrapText="1"/>
    </xf>
    <xf numFmtId="0" fontId="16" fillId="0" borderId="77" xfId="0" applyFont="1" applyFill="1" applyBorder="1" applyAlignment="1">
      <alignment horizontal="left" vertical="center" wrapText="1"/>
    </xf>
    <xf numFmtId="0" fontId="16" fillId="24" borderId="77" xfId="0" applyFont="1" applyFill="1" applyBorder="1" applyAlignment="1">
      <alignment horizontal="left" vertical="center" wrapText="1"/>
    </xf>
    <xf numFmtId="0" fontId="9" fillId="0" borderId="58" xfId="46" applyFont="1" applyFill="1" applyBorder="1" applyAlignment="1">
      <alignment horizontal="center" vertical="center" wrapText="1"/>
    </xf>
    <xf numFmtId="0" fontId="16" fillId="24" borderId="80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3" fontId="102" fillId="0" borderId="26" xfId="45" applyNumberFormat="1" applyFont="1" applyFill="1" applyBorder="1" applyAlignment="1">
      <alignment horizontal="right" vertical="center" wrapText="1"/>
    </xf>
    <xf numFmtId="3" fontId="102" fillId="0" borderId="26" xfId="0" applyNumberFormat="1" applyFont="1" applyFill="1" applyBorder="1" applyAlignment="1">
      <alignment horizontal="right" vertical="center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46" xfId="0" applyNumberFormat="1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/>
    </xf>
    <xf numFmtId="0" fontId="9" fillId="0" borderId="58" xfId="45" applyFont="1" applyFill="1" applyBorder="1" applyAlignment="1">
      <alignment horizontal="center" vertical="center" wrapText="1"/>
    </xf>
    <xf numFmtId="0" fontId="9" fillId="0" borderId="55" xfId="45" applyFont="1" applyFill="1" applyBorder="1" applyAlignment="1">
      <alignment horizontal="center" vertical="center" wrapText="1"/>
    </xf>
    <xf numFmtId="49" fontId="54" fillId="0" borderId="43" xfId="0" applyNumberFormat="1" applyFont="1" applyFill="1" applyBorder="1" applyAlignment="1">
      <alignment horizontal="center" vertical="center"/>
    </xf>
    <xf numFmtId="49" fontId="54" fillId="0" borderId="40" xfId="0" applyNumberFormat="1" applyFont="1" applyFill="1" applyBorder="1" applyAlignment="1">
      <alignment vertical="center"/>
    </xf>
    <xf numFmtId="0" fontId="54" fillId="0" borderId="53" xfId="0" applyFont="1" applyFill="1" applyBorder="1" applyAlignment="1">
      <alignment vertical="center" wrapText="1"/>
    </xf>
    <xf numFmtId="3" fontId="102" fillId="0" borderId="43" xfId="45" applyNumberFormat="1" applyFont="1" applyFill="1" applyBorder="1" applyAlignment="1">
      <alignment horizontal="right" vertical="center" wrapText="1"/>
    </xf>
    <xf numFmtId="3" fontId="102" fillId="0" borderId="47" xfId="45" applyNumberFormat="1" applyFont="1" applyFill="1" applyBorder="1" applyAlignment="1">
      <alignment horizontal="right" vertical="center" wrapText="1"/>
    </xf>
    <xf numFmtId="0" fontId="60" fillId="0" borderId="48" xfId="0" applyFont="1" applyFill="1" applyBorder="1" applyAlignment="1">
      <alignment horizontal="center" vertical="center" wrapText="1"/>
    </xf>
    <xf numFmtId="0" fontId="44" fillId="29" borderId="48" xfId="0" applyFont="1" applyFill="1" applyBorder="1" applyAlignment="1">
      <alignment horizontal="left" vertical="center" wrapText="1"/>
    </xf>
    <xf numFmtId="0" fontId="14" fillId="0" borderId="53" xfId="62" applyFont="1" applyBorder="1" applyAlignment="1">
      <alignment horizontal="left" vertical="center" wrapText="1"/>
    </xf>
    <xf numFmtId="0" fontId="14" fillId="0" borderId="14" xfId="62" applyFont="1" applyBorder="1" applyAlignment="1">
      <alignment horizontal="justify" vertical="center"/>
    </xf>
    <xf numFmtId="0" fontId="14" fillId="0" borderId="39" xfId="62" applyFont="1" applyBorder="1" applyAlignment="1">
      <alignment horizontal="justify" vertical="center"/>
    </xf>
    <xf numFmtId="0" fontId="44" fillId="24" borderId="48" xfId="0" applyFont="1" applyFill="1" applyBorder="1" applyAlignment="1">
      <alignment horizontal="left" vertical="center" wrapText="1"/>
    </xf>
    <xf numFmtId="0" fontId="60" fillId="0" borderId="18" xfId="45" applyFont="1" applyBorder="1" applyAlignment="1">
      <alignment horizontal="center" vertical="center" wrapText="1"/>
    </xf>
    <xf numFmtId="3" fontId="62" fillId="0" borderId="37" xfId="0" applyNumberFormat="1" applyFont="1" applyBorder="1" applyAlignment="1">
      <alignment horizontal="right" vertical="center"/>
    </xf>
    <xf numFmtId="3" fontId="62" fillId="0" borderId="12" xfId="0" applyNumberFormat="1" applyFont="1" applyBorder="1" applyAlignment="1">
      <alignment horizontal="right" vertical="center"/>
    </xf>
    <xf numFmtId="3" fontId="119" fillId="29" borderId="18" xfId="0" applyNumberFormat="1" applyFont="1" applyFill="1" applyBorder="1" applyAlignment="1">
      <alignment horizontal="right" vertical="center"/>
    </xf>
    <xf numFmtId="3" fontId="119" fillId="24" borderId="18" xfId="0" applyNumberFormat="1" applyFont="1" applyFill="1" applyBorder="1" applyAlignment="1">
      <alignment horizontal="right" vertical="center"/>
    </xf>
    <xf numFmtId="0" fontId="60" fillId="0" borderId="16" xfId="45" applyFont="1" applyBorder="1" applyAlignment="1">
      <alignment horizontal="center" vertical="center" wrapText="1"/>
    </xf>
    <xf numFmtId="3" fontId="119" fillId="29" borderId="16" xfId="0" applyNumberFormat="1" applyFont="1" applyFill="1" applyBorder="1" applyAlignment="1">
      <alignment horizontal="right"/>
    </xf>
    <xf numFmtId="3" fontId="62" fillId="0" borderId="25" xfId="0" applyNumberFormat="1" applyFont="1" applyBorder="1" applyAlignment="1">
      <alignment horizontal="right"/>
    </xf>
    <xf numFmtId="3" fontId="62" fillId="0" borderId="26" xfId="0" applyNumberFormat="1" applyFont="1" applyFill="1" applyBorder="1" applyAlignment="1">
      <alignment horizontal="right" vertical="center"/>
    </xf>
    <xf numFmtId="3" fontId="62" fillId="0" borderId="26" xfId="0" applyNumberFormat="1" applyFont="1" applyBorder="1" applyAlignment="1">
      <alignment horizontal="right" vertical="center"/>
    </xf>
    <xf numFmtId="3" fontId="62" fillId="0" borderId="31" xfId="0" applyNumberFormat="1" applyFont="1" applyFill="1" applyBorder="1" applyAlignment="1">
      <alignment horizontal="right" vertical="center"/>
    </xf>
    <xf numFmtId="3" fontId="119" fillId="29" borderId="16" xfId="0" applyNumberFormat="1" applyFont="1" applyFill="1" applyBorder="1" applyAlignment="1">
      <alignment horizontal="right" vertical="center"/>
    </xf>
    <xf numFmtId="3" fontId="119" fillId="24" borderId="16" xfId="0" applyNumberFormat="1" applyFont="1" applyFill="1" applyBorder="1" applyAlignment="1">
      <alignment horizontal="right" vertical="center"/>
    </xf>
    <xf numFmtId="3" fontId="119" fillId="24" borderId="15" xfId="0" applyNumberFormat="1" applyFont="1" applyFill="1" applyBorder="1" applyAlignment="1">
      <alignment horizontal="right" vertical="center"/>
    </xf>
    <xf numFmtId="3" fontId="147" fillId="0" borderId="43" xfId="0" applyNumberFormat="1" applyFont="1" applyFill="1" applyBorder="1" applyAlignment="1">
      <alignment horizontal="right" vertical="center"/>
    </xf>
    <xf numFmtId="3" fontId="147" fillId="0" borderId="47" xfId="0" applyNumberFormat="1" applyFont="1" applyFill="1" applyBorder="1" applyAlignment="1">
      <alignment horizontal="right" vertical="center"/>
    </xf>
    <xf numFmtId="3" fontId="147" fillId="0" borderId="26" xfId="0" applyNumberFormat="1" applyFont="1" applyFill="1" applyBorder="1" applyAlignment="1">
      <alignment horizontal="right" vertical="center"/>
    </xf>
    <xf numFmtId="3" fontId="147" fillId="0" borderId="27" xfId="0" applyNumberFormat="1" applyFont="1" applyFill="1" applyBorder="1" applyAlignment="1">
      <alignment horizontal="right" vertical="center"/>
    </xf>
    <xf numFmtId="3" fontId="148" fillId="29" borderId="26" xfId="0" applyNumberFormat="1" applyFont="1" applyFill="1" applyBorder="1" applyAlignment="1">
      <alignment horizontal="right" vertical="center"/>
    </xf>
    <xf numFmtId="3" fontId="148" fillId="29" borderId="27" xfId="0" applyNumberFormat="1" applyFont="1" applyFill="1" applyBorder="1" applyAlignment="1">
      <alignment horizontal="right" vertical="center"/>
    </xf>
    <xf numFmtId="3" fontId="148" fillId="29" borderId="30" xfId="0" applyNumberFormat="1" applyFont="1" applyFill="1" applyBorder="1" applyAlignment="1">
      <alignment horizontal="right" vertical="center"/>
    </xf>
    <xf numFmtId="3" fontId="148" fillId="29" borderId="28" xfId="0" applyNumberFormat="1" applyFont="1" applyFill="1" applyBorder="1" applyAlignment="1">
      <alignment horizontal="right" vertical="center"/>
    </xf>
    <xf numFmtId="3" fontId="148" fillId="24" borderId="16" xfId="0" applyNumberFormat="1" applyFont="1" applyFill="1" applyBorder="1" applyAlignment="1">
      <alignment horizontal="right" vertical="center"/>
    </xf>
    <xf numFmtId="3" fontId="148" fillId="24" borderId="15" xfId="0" applyNumberFormat="1" applyFont="1" applyFill="1" applyBorder="1" applyAlignment="1">
      <alignment horizontal="right" vertical="center"/>
    </xf>
    <xf numFmtId="0" fontId="102" fillId="0" borderId="14" xfId="67" applyFont="1" applyFill="1" applyBorder="1" applyAlignment="1">
      <alignment vertical="center" wrapText="1"/>
    </xf>
    <xf numFmtId="0" fontId="103" fillId="29" borderId="14" xfId="0" applyFont="1" applyFill="1" applyBorder="1" applyAlignment="1">
      <alignment horizontal="left" vertical="center" wrapText="1"/>
    </xf>
    <xf numFmtId="0" fontId="103" fillId="24" borderId="48" xfId="0" applyFont="1" applyFill="1" applyBorder="1" applyAlignment="1">
      <alignment horizontal="left" vertical="center" wrapText="1"/>
    </xf>
    <xf numFmtId="3" fontId="123" fillId="0" borderId="43" xfId="0" applyNumberFormat="1" applyFont="1" applyFill="1" applyBorder="1" applyAlignment="1">
      <alignment vertical="center"/>
    </xf>
    <xf numFmtId="3" fontId="123" fillId="0" borderId="47" xfId="0" applyNumberFormat="1" applyFont="1" applyFill="1" applyBorder="1" applyAlignment="1">
      <alignment vertical="center"/>
    </xf>
    <xf numFmtId="3" fontId="123" fillId="0" borderId="26" xfId="0" applyNumberFormat="1" applyFont="1" applyFill="1" applyBorder="1" applyAlignment="1">
      <alignment vertical="center"/>
    </xf>
    <xf numFmtId="3" fontId="124" fillId="29" borderId="26" xfId="0" applyNumberFormat="1" applyFont="1" applyFill="1" applyBorder="1" applyAlignment="1">
      <alignment horizontal="right" vertical="center"/>
    </xf>
    <xf numFmtId="3" fontId="124" fillId="24" borderId="16" xfId="0" applyNumberFormat="1" applyFont="1" applyFill="1" applyBorder="1" applyAlignment="1">
      <alignment horizontal="right" vertical="center"/>
    </xf>
    <xf numFmtId="3" fontId="124" fillId="24" borderId="15" xfId="0" applyNumberFormat="1" applyFont="1" applyFill="1" applyBorder="1" applyAlignment="1">
      <alignment horizontal="right" vertical="center"/>
    </xf>
    <xf numFmtId="0" fontId="53" fillId="0" borderId="46" xfId="45" applyFont="1" applyFill="1" applyBorder="1" applyAlignment="1">
      <alignment horizontal="center" vertical="center" wrapText="1"/>
    </xf>
    <xf numFmtId="0" fontId="53" fillId="0" borderId="55" xfId="45" applyFont="1" applyFill="1" applyBorder="1" applyAlignment="1">
      <alignment horizontal="center" vertical="center" wrapText="1"/>
    </xf>
    <xf numFmtId="3" fontId="102" fillId="0" borderId="13" xfId="45" applyNumberFormat="1" applyFont="1" applyFill="1" applyBorder="1"/>
    <xf numFmtId="3" fontId="102" fillId="0" borderId="16" xfId="45" applyNumberFormat="1" applyFont="1" applyFill="1" applyBorder="1"/>
    <xf numFmtId="3" fontId="134" fillId="0" borderId="48" xfId="45" applyNumberFormat="1" applyFont="1" applyFill="1" applyBorder="1"/>
    <xf numFmtId="3" fontId="130" fillId="0" borderId="14" xfId="45" applyNumberFormat="1" applyFont="1" applyFill="1" applyBorder="1"/>
    <xf numFmtId="3" fontId="102" fillId="0" borderId="14" xfId="45" applyNumberFormat="1" applyFont="1" applyFill="1" applyBorder="1"/>
    <xf numFmtId="3" fontId="102" fillId="0" borderId="64" xfId="45" applyNumberFormat="1" applyFont="1" applyFill="1" applyBorder="1"/>
    <xf numFmtId="3" fontId="103" fillId="24" borderId="48" xfId="45" applyNumberFormat="1" applyFont="1" applyFill="1" applyBorder="1"/>
    <xf numFmtId="3" fontId="130" fillId="0" borderId="48" xfId="45" applyNumberFormat="1" applyFont="1" applyFill="1" applyBorder="1"/>
    <xf numFmtId="3" fontId="102" fillId="0" borderId="13" xfId="45" applyNumberFormat="1" applyFont="1" applyFill="1" applyBorder="1" applyAlignment="1">
      <alignment vertical="center"/>
    </xf>
    <xf numFmtId="3" fontId="102" fillId="0" borderId="48" xfId="45" applyNumberFormat="1" applyFont="1" applyFill="1" applyBorder="1"/>
    <xf numFmtId="3" fontId="130" fillId="0" borderId="26" xfId="45" applyNumberFormat="1" applyFont="1" applyFill="1" applyBorder="1"/>
    <xf numFmtId="3" fontId="102" fillId="0" borderId="26" xfId="45" applyNumberFormat="1" applyFont="1" applyFill="1" applyBorder="1"/>
    <xf numFmtId="3" fontId="102" fillId="0" borderId="26" xfId="45" applyNumberFormat="1" applyFont="1" applyFill="1" applyBorder="1" applyAlignment="1">
      <alignment vertical="center"/>
    </xf>
    <xf numFmtId="3" fontId="102" fillId="0" borderId="27" xfId="45" applyNumberFormat="1" applyFont="1" applyFill="1" applyBorder="1" applyAlignment="1">
      <alignment vertical="center"/>
    </xf>
    <xf numFmtId="3" fontId="102" fillId="0" borderId="58" xfId="45" applyNumberFormat="1" applyFont="1" applyFill="1" applyBorder="1"/>
    <xf numFmtId="3" fontId="102" fillId="0" borderId="55" xfId="45" applyNumberFormat="1" applyFont="1" applyFill="1" applyBorder="1"/>
    <xf numFmtId="3" fontId="130" fillId="0" borderId="25" xfId="45" applyNumberFormat="1" applyFont="1" applyFill="1" applyBorder="1"/>
    <xf numFmtId="3" fontId="130" fillId="0" borderId="29" xfId="45" applyNumberFormat="1" applyFont="1" applyFill="1" applyBorder="1"/>
    <xf numFmtId="3" fontId="134" fillId="0" borderId="16" xfId="45" applyNumberFormat="1" applyFont="1" applyFill="1" applyBorder="1"/>
    <xf numFmtId="3" fontId="130" fillId="0" borderId="30" xfId="45" applyNumberFormat="1" applyFont="1" applyFill="1" applyBorder="1"/>
    <xf numFmtId="3" fontId="130" fillId="0" borderId="28" xfId="45" applyNumberFormat="1" applyFont="1" applyFill="1" applyBorder="1"/>
    <xf numFmtId="3" fontId="102" fillId="0" borderId="25" xfId="45" applyNumberFormat="1" applyFont="1" applyFill="1" applyBorder="1"/>
    <xf numFmtId="3" fontId="103" fillId="24" borderId="16" xfId="45" applyNumberFormat="1" applyFont="1" applyFill="1" applyBorder="1"/>
    <xf numFmtId="3" fontId="102" fillId="0" borderId="30" xfId="45" applyNumberFormat="1" applyFont="1" applyFill="1" applyBorder="1"/>
    <xf numFmtId="3" fontId="102" fillId="0" borderId="25" xfId="45" applyNumberFormat="1" applyFont="1" applyFill="1" applyBorder="1" applyAlignment="1">
      <alignment vertical="center"/>
    </xf>
    <xf numFmtId="3" fontId="130" fillId="0" borderId="16" xfId="45" applyNumberFormat="1" applyFont="1" applyFill="1" applyBorder="1"/>
    <xf numFmtId="3" fontId="102" fillId="0" borderId="30" xfId="45" applyNumberFormat="1" applyFont="1" applyFill="1" applyBorder="1" applyAlignment="1">
      <alignment vertical="center"/>
    </xf>
    <xf numFmtId="3" fontId="102" fillId="0" borderId="28" xfId="45" applyNumberFormat="1" applyFont="1" applyFill="1" applyBorder="1" applyAlignment="1">
      <alignment vertical="center"/>
    </xf>
    <xf numFmtId="3" fontId="102" fillId="0" borderId="31" xfId="45" applyNumberFormat="1" applyFont="1" applyFill="1" applyBorder="1" applyAlignment="1">
      <alignment vertical="center"/>
    </xf>
    <xf numFmtId="3" fontId="102" fillId="0" borderId="31" xfId="45" applyNumberFormat="1" applyFont="1" applyFill="1" applyBorder="1"/>
    <xf numFmtId="3" fontId="102" fillId="0" borderId="33" xfId="45" applyNumberFormat="1" applyFont="1" applyFill="1" applyBorder="1"/>
    <xf numFmtId="3" fontId="62" fillId="0" borderId="13" xfId="0" applyNumberFormat="1" applyFont="1" applyBorder="1" applyAlignment="1">
      <alignment horizontal="right"/>
    </xf>
    <xf numFmtId="3" fontId="119" fillId="29" borderId="73" xfId="0" applyNumberFormat="1" applyFont="1" applyFill="1" applyBorder="1" applyAlignment="1">
      <alignment horizontal="right"/>
    </xf>
    <xf numFmtId="3" fontId="119" fillId="29" borderId="55" xfId="0" applyNumberFormat="1" applyFont="1" applyFill="1" applyBorder="1" applyAlignment="1">
      <alignment horizontal="right"/>
    </xf>
    <xf numFmtId="3" fontId="119" fillId="29" borderId="77" xfId="0" applyNumberFormat="1" applyFont="1" applyFill="1" applyBorder="1" applyAlignment="1">
      <alignment horizontal="right"/>
    </xf>
    <xf numFmtId="3" fontId="119" fillId="29" borderId="49" xfId="0" applyNumberFormat="1" applyFont="1" applyFill="1" applyBorder="1" applyAlignment="1">
      <alignment horizontal="right"/>
    </xf>
    <xf numFmtId="3" fontId="62" fillId="0" borderId="43" xfId="0" applyNumberFormat="1" applyFont="1" applyFill="1" applyBorder="1" applyAlignment="1">
      <alignment horizontal="right"/>
    </xf>
    <xf numFmtId="3" fontId="62" fillId="0" borderId="47" xfId="0" applyNumberFormat="1" applyFont="1" applyFill="1" applyBorder="1" applyAlignment="1">
      <alignment horizontal="right"/>
    </xf>
    <xf numFmtId="3" fontId="62" fillId="0" borderId="34" xfId="0" applyNumberFormat="1" applyFont="1" applyBorder="1" applyAlignment="1">
      <alignment horizontal="right"/>
    </xf>
    <xf numFmtId="3" fontId="62" fillId="0" borderId="36" xfId="0" applyNumberFormat="1" applyFont="1" applyBorder="1" applyAlignment="1">
      <alignment horizontal="right"/>
    </xf>
    <xf numFmtId="3" fontId="102" fillId="0" borderId="47" xfId="0" applyNumberFormat="1" applyFont="1" applyFill="1" applyBorder="1" applyAlignment="1">
      <alignment vertical="center"/>
    </xf>
    <xf numFmtId="0" fontId="86" fillId="0" borderId="0" xfId="67" applyFont="1" applyBorder="1" applyAlignment="1">
      <alignment horizontal="center" vertical="center"/>
    </xf>
    <xf numFmtId="0" fontId="14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0" fillId="0" borderId="60" xfId="45" applyFont="1" applyBorder="1" applyAlignment="1">
      <alignment horizontal="center" wrapText="1"/>
    </xf>
    <xf numFmtId="0" fontId="117" fillId="0" borderId="38" xfId="0" applyFont="1" applyBorder="1" applyAlignment="1">
      <alignment horizontal="center" wrapText="1"/>
    </xf>
    <xf numFmtId="0" fontId="0" fillId="0" borderId="38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3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20" fillId="0" borderId="0" xfId="0" applyFont="1" applyAlignment="1">
      <alignment horizontal="center" wrapText="1"/>
    </xf>
    <xf numFmtId="0" fontId="145" fillId="0" borderId="0" xfId="0" applyFont="1" applyAlignment="1">
      <alignment wrapText="1"/>
    </xf>
    <xf numFmtId="0" fontId="86" fillId="0" borderId="0" xfId="45" applyFont="1" applyAlignment="1">
      <alignment horizontal="center" wrapText="1"/>
    </xf>
    <xf numFmtId="0" fontId="87" fillId="0" borderId="0" xfId="0" applyFont="1" applyAlignment="1">
      <alignment wrapText="1"/>
    </xf>
    <xf numFmtId="0" fontId="136" fillId="0" borderId="0" xfId="0" applyFont="1" applyAlignment="1">
      <alignment wrapText="1"/>
    </xf>
    <xf numFmtId="0" fontId="0" fillId="0" borderId="0" xfId="0" applyAlignment="1">
      <alignment wrapText="1"/>
    </xf>
    <xf numFmtId="0" fontId="86" fillId="0" borderId="0" xfId="0" applyFont="1" applyAlignment="1">
      <alignment horizontal="center" vertical="center" wrapText="1"/>
    </xf>
    <xf numFmtId="0" fontId="101" fillId="0" borderId="0" xfId="0" applyFont="1" applyAlignment="1">
      <alignment wrapText="1"/>
    </xf>
    <xf numFmtId="0" fontId="77" fillId="0" borderId="4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77" fillId="0" borderId="4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/>
    </xf>
    <xf numFmtId="0" fontId="149" fillId="0" borderId="40" xfId="0" applyFont="1" applyBorder="1" applyAlignment="1">
      <alignment horizontal="center" vertical="center"/>
    </xf>
    <xf numFmtId="0" fontId="149" fillId="0" borderId="47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0" fontId="86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5" fillId="0" borderId="53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77" fillId="0" borderId="5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149" fillId="0" borderId="40" xfId="0" applyFont="1" applyBorder="1" applyAlignment="1">
      <alignment horizontal="center" vertical="center" wrapText="1"/>
    </xf>
    <xf numFmtId="0" fontId="149" fillId="0" borderId="47" xfId="0" applyFont="1" applyBorder="1" applyAlignment="1">
      <alignment horizontal="center" vertical="center" wrapText="1"/>
    </xf>
    <xf numFmtId="0" fontId="108" fillId="0" borderId="0" xfId="49" applyFont="1" applyAlignment="1">
      <alignment horizontal="center" wrapText="1"/>
    </xf>
    <xf numFmtId="0" fontId="135" fillId="0" borderId="0" xfId="0" applyFont="1" applyAlignment="1">
      <alignment wrapText="1"/>
    </xf>
    <xf numFmtId="0" fontId="46" fillId="0" borderId="0" xfId="0" applyFont="1" applyFill="1" applyBorder="1" applyAlignment="1">
      <alignment horizontal="right" vertical="center" wrapText="1"/>
    </xf>
    <xf numFmtId="0" fontId="46" fillId="0" borderId="12" xfId="0" applyFont="1" applyFill="1" applyBorder="1" applyAlignment="1">
      <alignment horizontal="right" vertical="center" wrapText="1"/>
    </xf>
    <xf numFmtId="3" fontId="87" fillId="0" borderId="50" xfId="49" applyNumberFormat="1" applyFont="1" applyBorder="1" applyAlignment="1">
      <alignment horizontal="right"/>
    </xf>
    <xf numFmtId="3" fontId="87" fillId="0" borderId="37" xfId="49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right" vertical="center"/>
    </xf>
    <xf numFmtId="0" fontId="12" fillId="0" borderId="0" xfId="76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76" applyFont="1" applyAlignment="1">
      <alignment horizontal="center" vertical="center" wrapText="1"/>
    </xf>
    <xf numFmtId="0" fontId="58" fillId="0" borderId="38" xfId="76" applyFont="1" applyFill="1" applyBorder="1" applyAlignment="1">
      <alignment horizontal="center" vertical="center"/>
    </xf>
    <xf numFmtId="0" fontId="14" fillId="0" borderId="14" xfId="81" applyFont="1" applyFill="1" applyBorder="1" applyAlignment="1">
      <alignment horizontal="center" vertical="center"/>
    </xf>
    <xf numFmtId="0" fontId="14" fillId="0" borderId="50" xfId="81" applyFont="1" applyFill="1" applyBorder="1" applyAlignment="1">
      <alignment horizontal="center" vertical="center"/>
    </xf>
    <xf numFmtId="0" fontId="14" fillId="0" borderId="37" xfId="81" applyFont="1" applyFill="1" applyBorder="1" applyAlignment="1">
      <alignment horizontal="center" vertical="center"/>
    </xf>
    <xf numFmtId="0" fontId="9" fillId="31" borderId="48" xfId="81" applyFont="1" applyFill="1" applyBorder="1" applyAlignment="1">
      <alignment horizontal="left" vertical="center" wrapText="1"/>
    </xf>
    <xf numFmtId="0" fontId="9" fillId="31" borderId="42" xfId="81" applyFont="1" applyFill="1" applyBorder="1" applyAlignment="1">
      <alignment horizontal="left" vertical="center" wrapText="1"/>
    </xf>
    <xf numFmtId="0" fontId="9" fillId="31" borderId="18" xfId="81" applyFont="1" applyFill="1" applyBorder="1" applyAlignment="1">
      <alignment horizontal="left" vertical="center" wrapText="1"/>
    </xf>
    <xf numFmtId="0" fontId="17" fillId="0" borderId="0" xfId="8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31" borderId="68" xfId="81" applyFont="1" applyFill="1" applyBorder="1" applyAlignment="1">
      <alignment horizontal="left" vertical="center" wrapText="1"/>
    </xf>
    <xf numFmtId="0" fontId="9" fillId="31" borderId="69" xfId="81" applyFont="1" applyFill="1" applyBorder="1" applyAlignment="1">
      <alignment horizontal="left" vertical="center" wrapText="1"/>
    </xf>
    <xf numFmtId="0" fontId="9" fillId="31" borderId="73" xfId="81" applyFont="1" applyFill="1" applyBorder="1" applyAlignment="1">
      <alignment horizontal="left" vertical="center" wrapText="1"/>
    </xf>
    <xf numFmtId="0" fontId="14" fillId="33" borderId="14" xfId="81" applyFont="1" applyFill="1" applyBorder="1" applyAlignment="1">
      <alignment horizontal="center" vertical="center" wrapText="1"/>
    </xf>
    <xf numFmtId="0" fontId="14" fillId="33" borderId="50" xfId="81" applyFont="1" applyFill="1" applyBorder="1" applyAlignment="1">
      <alignment horizontal="center" vertical="center" wrapText="1"/>
    </xf>
    <xf numFmtId="0" fontId="14" fillId="33" borderId="37" xfId="81" applyFont="1" applyFill="1" applyBorder="1" applyAlignment="1">
      <alignment horizontal="center" vertical="center" wrapText="1"/>
    </xf>
    <xf numFmtId="0" fontId="45" fillId="0" borderId="0" xfId="45" applyFont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6" fillId="0" borderId="0" xfId="0" applyFont="1" applyFill="1" applyAlignment="1">
      <alignment horizontal="center"/>
    </xf>
    <xf numFmtId="0" fontId="140" fillId="0" borderId="0" xfId="0" applyFont="1" applyFill="1" applyAlignment="1"/>
    <xf numFmtId="0" fontId="136" fillId="0" borderId="0" xfId="0" applyFont="1" applyFill="1" applyAlignment="1"/>
    <xf numFmtId="0" fontId="0" fillId="0" borderId="0" xfId="0" applyAlignment="1"/>
    <xf numFmtId="0" fontId="110" fillId="0" borderId="0" xfId="0" applyFont="1" applyAlignment="1"/>
    <xf numFmtId="0" fontId="17" fillId="0" borderId="0" xfId="67" applyFont="1" applyAlignment="1">
      <alignment horizontal="center"/>
    </xf>
    <xf numFmtId="0" fontId="110" fillId="0" borderId="0" xfId="0" applyFont="1" applyAlignment="1">
      <alignment wrapText="1"/>
    </xf>
    <xf numFmtId="0" fontId="153" fillId="0" borderId="0" xfId="0" applyFont="1" applyAlignment="1">
      <alignment horizontal="center" wrapText="1"/>
    </xf>
    <xf numFmtId="0" fontId="154" fillId="0" borderId="0" xfId="0" applyFont="1" applyAlignment="1">
      <alignment horizontal="center" wrapText="1"/>
    </xf>
    <xf numFmtId="0" fontId="153" fillId="0" borderId="0" xfId="0" applyFont="1" applyAlignment="1">
      <alignment horizontal="center" wrapText="1" shrinkToFit="1"/>
    </xf>
    <xf numFmtId="0" fontId="154" fillId="0" borderId="0" xfId="0" applyFont="1" applyAlignment="1">
      <alignment horizontal="center" wrapText="1" shrinkToFit="1"/>
    </xf>
    <xf numFmtId="0" fontId="148" fillId="0" borderId="0" xfId="0" applyFont="1" applyFill="1" applyBorder="1" applyAlignment="1">
      <alignment horizontal="center" vertical="center"/>
    </xf>
    <xf numFmtId="0" fontId="148" fillId="0" borderId="0" xfId="0" applyFont="1" applyFill="1" applyBorder="1" applyAlignment="1">
      <alignment vertical="center"/>
    </xf>
    <xf numFmtId="0" fontId="154" fillId="0" borderId="0" xfId="0" applyFont="1" applyBorder="1" applyAlignment="1">
      <alignment vertical="center"/>
    </xf>
    <xf numFmtId="0" fontId="108" fillId="0" borderId="0" xfId="0" applyFont="1" applyAlignment="1">
      <alignment horizontal="center"/>
    </xf>
    <xf numFmtId="0" fontId="98" fillId="0" borderId="52" xfId="0" applyFont="1" applyFill="1" applyBorder="1" applyAlignment="1">
      <alignment horizontal="center"/>
    </xf>
    <xf numFmtId="0" fontId="127" fillId="0" borderId="52" xfId="0" applyFont="1" applyBorder="1" applyAlignment="1"/>
    <xf numFmtId="0" fontId="0" fillId="0" borderId="52" xfId="0" applyBorder="1" applyAlignment="1"/>
    <xf numFmtId="0" fontId="17" fillId="0" borderId="0" xfId="0" applyFont="1" applyAlignment="1">
      <alignment horizontal="center" wrapText="1"/>
    </xf>
    <xf numFmtId="0" fontId="49" fillId="0" borderId="10" xfId="50" applyFont="1" applyBorder="1" applyAlignment="1">
      <alignment horizontal="center" wrapText="1"/>
    </xf>
    <xf numFmtId="0" fontId="45" fillId="0" borderId="0" xfId="68" applyFont="1" applyBorder="1" applyAlignment="1">
      <alignment horizontal="center" wrapText="1"/>
    </xf>
    <xf numFmtId="0" fontId="52" fillId="0" borderId="10" xfId="46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03" fillId="0" borderId="10" xfId="58" applyFont="1" applyFill="1" applyBorder="1" applyAlignment="1">
      <alignment horizontal="center" vertical="center" wrapText="1"/>
    </xf>
    <xf numFmtId="0" fontId="150" fillId="0" borderId="10" xfId="0" applyFont="1" applyFill="1" applyBorder="1" applyAlignment="1">
      <alignment horizontal="center" vertical="center" wrapText="1"/>
    </xf>
    <xf numFmtId="0" fontId="103" fillId="0" borderId="0" xfId="46" applyFont="1" applyAlignment="1">
      <alignment horizontal="center"/>
    </xf>
    <xf numFmtId="0" fontId="52" fillId="0" borderId="0" xfId="58" applyFont="1" applyFill="1" applyBorder="1" applyAlignment="1">
      <alignment horizontal="center"/>
    </xf>
    <xf numFmtId="0" fontId="100" fillId="0" borderId="0" xfId="58" applyFont="1" applyBorder="1" applyAlignment="1">
      <alignment horizontal="center" wrapText="1"/>
    </xf>
    <xf numFmtId="0" fontId="52" fillId="0" borderId="10" xfId="46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52" fillId="0" borderId="0" xfId="46" applyFont="1" applyAlignment="1">
      <alignment horizontal="center"/>
    </xf>
    <xf numFmtId="0" fontId="86" fillId="0" borderId="0" xfId="54" applyFont="1" applyAlignment="1">
      <alignment horizontal="center" wrapText="1"/>
    </xf>
    <xf numFmtId="0" fontId="17" fillId="0" borderId="0" xfId="46" applyFont="1" applyAlignment="1">
      <alignment horizontal="center"/>
    </xf>
    <xf numFmtId="0" fontId="45" fillId="0" borderId="0" xfId="57" applyFont="1" applyBorder="1" applyAlignment="1">
      <alignment horizontal="center" wrapText="1"/>
    </xf>
    <xf numFmtId="0" fontId="17" fillId="0" borderId="0" xfId="57" applyFont="1" applyBorder="1" applyAlignment="1">
      <alignment horizontal="center" vertical="center"/>
    </xf>
    <xf numFmtId="0" fontId="46" fillId="0" borderId="0" xfId="50" applyFont="1" applyBorder="1" applyAlignment="1">
      <alignment horizontal="center" vertical="center"/>
    </xf>
    <xf numFmtId="0" fontId="51" fillId="0" borderId="0" xfId="50" applyFont="1" applyAlignment="1"/>
    <xf numFmtId="0" fontId="100" fillId="0" borderId="0" xfId="68" applyFont="1" applyBorder="1" applyAlignment="1">
      <alignment horizontal="center" wrapText="1"/>
    </xf>
    <xf numFmtId="0" fontId="100" fillId="0" borderId="0" xfId="67" applyFont="1" applyBorder="1" applyAlignment="1">
      <alignment horizontal="center" wrapText="1"/>
    </xf>
    <xf numFmtId="0" fontId="17" fillId="0" borderId="0" xfId="46" applyFont="1" applyAlignment="1">
      <alignment horizontal="center" wrapText="1"/>
    </xf>
    <xf numFmtId="0" fontId="10" fillId="0" borderId="0" xfId="46" applyFont="1" applyAlignment="1">
      <alignment horizontal="center"/>
    </xf>
    <xf numFmtId="0" fontId="17" fillId="0" borderId="0" xfId="46" applyFont="1" applyAlignment="1">
      <alignment horizontal="center" vertical="center" wrapText="1"/>
    </xf>
    <xf numFmtId="0" fontId="100" fillId="34" borderId="11" xfId="67" applyFont="1" applyFill="1" applyBorder="1" applyAlignment="1">
      <alignment horizontal="left" vertical="center" wrapText="1"/>
    </xf>
    <xf numFmtId="0" fontId="100" fillId="34" borderId="42" xfId="67" applyFont="1" applyFill="1" applyBorder="1" applyAlignment="1">
      <alignment horizontal="left" vertical="center" wrapText="1"/>
    </xf>
    <xf numFmtId="0" fontId="100" fillId="34" borderId="21" xfId="67" applyFont="1" applyFill="1" applyBorder="1" applyAlignment="1">
      <alignment horizontal="left" vertical="center" wrapText="1"/>
    </xf>
    <xf numFmtId="0" fontId="100" fillId="0" borderId="0" xfId="67" applyFont="1" applyBorder="1" applyAlignment="1">
      <alignment horizontal="center" vertical="center" wrapText="1"/>
    </xf>
    <xf numFmtId="0" fontId="103" fillId="0" borderId="0" xfId="46" applyFont="1" applyAlignment="1">
      <alignment horizontal="center" vertical="center" wrapText="1"/>
    </xf>
    <xf numFmtId="0" fontId="100" fillId="34" borderId="43" xfId="67" applyFont="1" applyFill="1" applyBorder="1" applyAlignment="1">
      <alignment horizontal="left" vertical="center" wrapText="1"/>
    </xf>
    <xf numFmtId="0" fontId="100" fillId="34" borderId="40" xfId="67" applyFont="1" applyFill="1" applyBorder="1" applyAlignment="1">
      <alignment horizontal="left" vertical="center" wrapText="1"/>
    </xf>
    <xf numFmtId="0" fontId="100" fillId="34" borderId="47" xfId="67" applyFont="1" applyFill="1" applyBorder="1" applyAlignment="1">
      <alignment horizontal="left" vertical="center" wrapText="1"/>
    </xf>
    <xf numFmtId="0" fontId="102" fillId="0" borderId="0" xfId="46" applyFont="1" applyFill="1" applyBorder="1" applyAlignment="1">
      <alignment vertical="center"/>
    </xf>
  </cellXfs>
  <cellStyles count="88">
    <cellStyle name="20% - 1. jelölőszín 2" xfId="1" xr:uid="{00000000-0005-0000-0000-000000000000}"/>
    <cellStyle name="20% - 2. jelölőszín 2" xfId="2" xr:uid="{00000000-0005-0000-0000-000001000000}"/>
    <cellStyle name="20% - 3. jelölőszín 2" xfId="3" xr:uid="{00000000-0005-0000-0000-000002000000}"/>
    <cellStyle name="20% - 4. jelölőszín 2" xfId="4" xr:uid="{00000000-0005-0000-0000-000003000000}"/>
    <cellStyle name="20% - 5. jelölőszín 2" xfId="5" xr:uid="{00000000-0005-0000-0000-000004000000}"/>
    <cellStyle name="20% - 6. jelölőszín 2" xfId="6" xr:uid="{00000000-0005-0000-0000-000005000000}"/>
    <cellStyle name="40% - 1. jelölőszín 2" xfId="7" xr:uid="{00000000-0005-0000-0000-000006000000}"/>
    <cellStyle name="40% - 2. jelölőszín 2" xfId="8" xr:uid="{00000000-0005-0000-0000-000007000000}"/>
    <cellStyle name="40% - 3. jelölőszín 2" xfId="9" xr:uid="{00000000-0005-0000-0000-000008000000}"/>
    <cellStyle name="40% - 4. jelölőszín 2" xfId="10" xr:uid="{00000000-0005-0000-0000-000009000000}"/>
    <cellStyle name="40% - 5. jelölőszín 2" xfId="11" xr:uid="{00000000-0005-0000-0000-00000A000000}"/>
    <cellStyle name="40% - 6. jelölőszín 2" xfId="12" xr:uid="{00000000-0005-0000-0000-00000B000000}"/>
    <cellStyle name="60% - 1. jelölőszín 2" xfId="13" xr:uid="{00000000-0005-0000-0000-00000C000000}"/>
    <cellStyle name="60% - 2. jelölőszín 2" xfId="14" xr:uid="{00000000-0005-0000-0000-00000D000000}"/>
    <cellStyle name="60% - 3. jelölőszín 2" xfId="15" xr:uid="{00000000-0005-0000-0000-00000E000000}"/>
    <cellStyle name="60% - 4. jelölőszín 2" xfId="16" xr:uid="{00000000-0005-0000-0000-00000F000000}"/>
    <cellStyle name="60% - 5. jelölőszín 2" xfId="17" xr:uid="{00000000-0005-0000-0000-000010000000}"/>
    <cellStyle name="60% - 6. jelölőszín 2" xfId="18" xr:uid="{00000000-0005-0000-0000-000011000000}"/>
    <cellStyle name="Bevitel 2" xfId="19" xr:uid="{00000000-0005-0000-0000-000012000000}"/>
    <cellStyle name="Cím 2" xfId="20" xr:uid="{00000000-0005-0000-0000-000013000000}"/>
    <cellStyle name="Címsor 1 2" xfId="21" xr:uid="{00000000-0005-0000-0000-000014000000}"/>
    <cellStyle name="Címsor 2 2" xfId="22" xr:uid="{00000000-0005-0000-0000-000015000000}"/>
    <cellStyle name="Címsor 3 2" xfId="23" xr:uid="{00000000-0005-0000-0000-000016000000}"/>
    <cellStyle name="Címsor 4 2" xfId="24" xr:uid="{00000000-0005-0000-0000-000017000000}"/>
    <cellStyle name="Ellenőrzőcella 2" xfId="25" xr:uid="{00000000-0005-0000-0000-000018000000}"/>
    <cellStyle name="Ezres" xfId="87" builtinId="3"/>
    <cellStyle name="Ezres 2" xfId="26" xr:uid="{00000000-0005-0000-0000-00001A000000}"/>
    <cellStyle name="Ezres 2 2" xfId="27" xr:uid="{00000000-0005-0000-0000-00001B000000}"/>
    <cellStyle name="Ezres 3" xfId="28" xr:uid="{00000000-0005-0000-0000-00001C000000}"/>
    <cellStyle name="Ezres 4" xfId="29" xr:uid="{00000000-0005-0000-0000-00001D000000}"/>
    <cellStyle name="Ezres_2012. évi költségvetés" xfId="30" xr:uid="{00000000-0005-0000-0000-00001E000000}"/>
    <cellStyle name="Ezres_Költségvetés 2005." xfId="31" xr:uid="{00000000-0005-0000-0000-00001F000000}"/>
    <cellStyle name="Ezres_LIKVIDITÁS kezelés2013" xfId="32" xr:uid="{00000000-0005-0000-0000-000020000000}"/>
    <cellStyle name="Figyelmeztetés 2" xfId="33" xr:uid="{00000000-0005-0000-0000-000021000000}"/>
    <cellStyle name="Hivatkozás" xfId="86" builtinId="8"/>
    <cellStyle name="Hivatkozott cella 2" xfId="34" xr:uid="{00000000-0005-0000-0000-000023000000}"/>
    <cellStyle name="Jegyzet 2" xfId="35" xr:uid="{00000000-0005-0000-0000-000024000000}"/>
    <cellStyle name="Jelölőszín (1) 2" xfId="36" xr:uid="{00000000-0005-0000-0000-000025000000}"/>
    <cellStyle name="Jelölőszín (2) 2" xfId="37" xr:uid="{00000000-0005-0000-0000-000026000000}"/>
    <cellStyle name="Jelölőszín (3) 2" xfId="38" xr:uid="{00000000-0005-0000-0000-000027000000}"/>
    <cellStyle name="Jelölőszín (4) 2" xfId="39" xr:uid="{00000000-0005-0000-0000-000028000000}"/>
    <cellStyle name="Jelölőszín (5) 2" xfId="40" xr:uid="{00000000-0005-0000-0000-000029000000}"/>
    <cellStyle name="Jelölőszín (6) 2" xfId="41" xr:uid="{00000000-0005-0000-0000-00002A000000}"/>
    <cellStyle name="Jó 2" xfId="42" xr:uid="{00000000-0005-0000-0000-00002B000000}"/>
    <cellStyle name="Kimenet 2" xfId="43" xr:uid="{00000000-0005-0000-0000-00002C000000}"/>
    <cellStyle name="Magyarázó szöveg 2" xfId="44" xr:uid="{00000000-0005-0000-0000-00002D000000}"/>
    <cellStyle name="Normál" xfId="0" builtinId="0"/>
    <cellStyle name="Normál 2" xfId="45" xr:uid="{00000000-0005-0000-0000-00002F000000}"/>
    <cellStyle name="Normál 2 2" xfId="46" xr:uid="{00000000-0005-0000-0000-000030000000}"/>
    <cellStyle name="Normál 2 3" xfId="47" xr:uid="{00000000-0005-0000-0000-000031000000}"/>
    <cellStyle name="Normál 2 3 2" xfId="84" xr:uid="{00000000-0005-0000-0000-000032000000}"/>
    <cellStyle name="Normál 2 3 2 2" xfId="85" xr:uid="{00000000-0005-0000-0000-000033000000}"/>
    <cellStyle name="Normál 2 4" xfId="48" xr:uid="{00000000-0005-0000-0000-000034000000}"/>
    <cellStyle name="Normál 2 4 2" xfId="78" xr:uid="{00000000-0005-0000-0000-000035000000}"/>
    <cellStyle name="Normál 2 5" xfId="79" xr:uid="{00000000-0005-0000-0000-000036000000}"/>
    <cellStyle name="Normál 2_Másolat - Honalprol letöltött 2015-ös" xfId="49" xr:uid="{00000000-0005-0000-0000-000037000000}"/>
    <cellStyle name="Normál 3" xfId="50" xr:uid="{00000000-0005-0000-0000-000038000000}"/>
    <cellStyle name="Normál 4" xfId="51" xr:uid="{00000000-0005-0000-0000-000039000000}"/>
    <cellStyle name="Normál 5" xfId="52" xr:uid="{00000000-0005-0000-0000-00003A000000}"/>
    <cellStyle name="Normál 5 2" xfId="83" xr:uid="{00000000-0005-0000-0000-00003B000000}"/>
    <cellStyle name="Normál 6" xfId="53" xr:uid="{00000000-0005-0000-0000-00003C000000}"/>
    <cellStyle name="Normál 7" xfId="54" xr:uid="{00000000-0005-0000-0000-00003D000000}"/>
    <cellStyle name="Normál_2003.évi költségvetés  xls" xfId="55" xr:uid="{00000000-0005-0000-0000-00003E000000}"/>
    <cellStyle name="Normál_2004.évi költg.v. terv .xls" xfId="56" xr:uid="{00000000-0005-0000-0000-00003F000000}"/>
    <cellStyle name="Normál_2004.évi költg.v. terv .xls 2" xfId="57" xr:uid="{00000000-0005-0000-0000-000040000000}"/>
    <cellStyle name="Normál_2005.koncepció xls" xfId="58" xr:uid="{00000000-0005-0000-0000-000041000000}"/>
    <cellStyle name="Normál_2005.koncepció xls 2" xfId="59" xr:uid="{00000000-0005-0000-0000-000042000000}"/>
    <cellStyle name="Normál_2011. évi költségvetés kihirdetésre javított" xfId="60" xr:uid="{00000000-0005-0000-0000-000043000000}"/>
    <cellStyle name="Normál_2012. évi költségvetés" xfId="61" xr:uid="{00000000-0005-0000-0000-000044000000}"/>
    <cellStyle name="Normál_2012. évi költségvetés 2 2" xfId="81" xr:uid="{00000000-0005-0000-0000-000045000000}"/>
    <cellStyle name="Normál_2014 évi költségvetés előirányzatok költségvetéshez" xfId="62" xr:uid="{00000000-0005-0000-0000-000046000000}"/>
    <cellStyle name="Normál_4-5.sz. melléklet_02_normatíva Katinak 2012 2" xfId="82" xr:uid="{00000000-0005-0000-0000-000047000000}"/>
    <cellStyle name="Normál_97ûrlap" xfId="63" xr:uid="{00000000-0005-0000-0000-000048000000}"/>
    <cellStyle name="Normál_dologi kimutatás 2009-2010.összesítve" xfId="64" xr:uid="{00000000-0005-0000-0000-000049000000}"/>
    <cellStyle name="Normál_dologi kimutatás 2009-2010.összesítve 2" xfId="65" xr:uid="{00000000-0005-0000-0000-00004A000000}"/>
    <cellStyle name="Normál_Igény-elszám.2009-2010 Civilek_2011. évi költségvetés kihirdetésre javított" xfId="66" xr:uid="{00000000-0005-0000-0000-00004B000000}"/>
    <cellStyle name="Normál_Költségvetés 2005." xfId="67" xr:uid="{00000000-0005-0000-0000-00004C000000}"/>
    <cellStyle name="Normál_Költségvetés 2005. 2" xfId="68" xr:uid="{00000000-0005-0000-0000-00004D000000}"/>
    <cellStyle name="Normál_Költségvetés 2005. 3 2" xfId="80" xr:uid="{00000000-0005-0000-0000-00004E000000}"/>
    <cellStyle name="Normal_KTRSZJ" xfId="69" xr:uid="{00000000-0005-0000-0000-00004F000000}"/>
    <cellStyle name="Normál_LIKVIDITÁS kezelés2013" xfId="70" xr:uid="{00000000-0005-0000-0000-000050000000}"/>
    <cellStyle name="Normál_Pilisvörösvár(1) 2" xfId="76" xr:uid="{00000000-0005-0000-0000-000051000000}"/>
    <cellStyle name="Normál_Státusz hivatal" xfId="71" xr:uid="{00000000-0005-0000-0000-000052000000}"/>
    <cellStyle name="Összesen 2" xfId="72" xr:uid="{00000000-0005-0000-0000-000053000000}"/>
    <cellStyle name="Rossz 2" xfId="73" xr:uid="{00000000-0005-0000-0000-000054000000}"/>
    <cellStyle name="Semleges 2" xfId="74" xr:uid="{00000000-0005-0000-0000-000055000000}"/>
    <cellStyle name="Számítás 2" xfId="75" xr:uid="{00000000-0005-0000-0000-000056000000}"/>
    <cellStyle name="Százalék" xfId="77" builtinId="5"/>
  </cellStyles>
  <dxfs count="0"/>
  <tableStyles count="0" defaultTableStyle="TableStyleMedium2" defaultPivotStyle="PivotStyleLight16"/>
  <colors>
    <mruColors>
      <color rgb="FFE917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home\Dokumentumok\Ktgvet.m&#243;dosit&#225;s\2003.%20&#233;vi%20k&#246;lts&#233;gvet&#233;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home\Dokumentumok\Hitelek,munk&#225;ltat&#243;i\2003.%20&#233;vi%20k&#246;lts&#233;gvet&#233;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home\Documents%20and%20Settings\user\Local%20Settings\Temporary%20Internet%20Files\Content.IE5\AB8BUPK3\KOLTSEGV\2003.%20&#233;vi%20k&#246;lts&#233;gvet&#233;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home\Documents%20and%20Settings\user\Local%20Settings\Temporary%20Internet%20Files\Content.IE5\4HQ78TAR\2003.%20&#233;vi%20k&#246;lts&#233;gvet&#233;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umok\KOLTSEGV\2003.%20&#233;vi%20k&#246;lts&#233;gvet&#233;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home\&#201;VI\2021.%20k&#246;lts&#233;gvet&#233;s\saj&#225;t%202021.%20K&#246;lts&#233;gvet&#233;s%202020.11.0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\home\ANDI\Andrea\K&#246;lts&#233;gvet&#233;s\2020\Kih&#237;rdetett\2020.%20K&#246;lts&#233;gvet&#233;s%20LEADOTT%202020.02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jegyzék"/>
      <sheetName val="Címrend"/>
      <sheetName val="Bevétel_kiadásegyüttesen_1_m_"/>
      <sheetName val="Bevételekmindössszesen_2_m_"/>
      <sheetName val="PolgármesteriHiv_szakf__3_m__"/>
      <sheetName val="Bevételekrészletezve_4__"/>
      <sheetName val="Kiadásokösszesen_5__"/>
      <sheetName val="Kiadásokösszesítveint__6__"/>
      <sheetName val="Bevét_kiadásintézm__7__"/>
      <sheetName val="Intézményipótlékok"/>
      <sheetName val="Létszámadatok"/>
      <sheetName val="Polg_Hiv_szakfeladkiadásai"/>
      <sheetName val="Polg_Hiv_kiadásai_11_16_m__"/>
      <sheetName val="öbbéveselkötelezettség"/>
      <sheetName val="NémetNemz_Kis_Önkorm_ktgvet_"/>
      <sheetName val="Munka13_2_"/>
      <sheetName val="Munka2"/>
      <sheetName val="Intézm_felhalm_kiadások"/>
      <sheetName val="Intézményirészletezettkiadás_"/>
      <sheetName val="Államinormatíva2003"/>
      <sheetName val="Társ_szervektámogatásai2002_"/>
    </sheetNames>
    <sheetDataSet>
      <sheetData sheetId="0"/>
      <sheetData sheetId="1"/>
      <sheetData sheetId="2"/>
      <sheetData sheetId="3"/>
      <sheetData sheetId="4">
        <row r="4">
          <cell r="A4" t="str">
            <v xml:space="preserve">Polgármesteri Hivatal 2002. évi   bevételi előirányzata </v>
          </cell>
        </row>
        <row r="5">
          <cell r="A5" t="str">
            <v>szakfeladatonkénti összesítése</v>
          </cell>
        </row>
        <row r="6">
          <cell r="E6" t="str">
            <v>3.sz. melléklet</v>
          </cell>
        </row>
        <row r="7">
          <cell r="E7" t="str">
            <v>ezer Ft-ban</v>
          </cell>
        </row>
        <row r="8">
          <cell r="E8" t="str">
            <v>Módosított</v>
          </cell>
        </row>
        <row r="9">
          <cell r="A9" t="str">
            <v>Alcím</v>
          </cell>
          <cell r="B9" t="str">
            <v>Szakfeladatok</v>
          </cell>
          <cell r="C9" t="str">
            <v>Előirányzat</v>
          </cell>
          <cell r="D9" t="str">
            <v>Módosítás</v>
          </cell>
          <cell r="E9" t="str">
            <v>előirányzat</v>
          </cell>
        </row>
        <row r="10">
          <cell r="B10" t="str">
            <v>megnevezése</v>
          </cell>
          <cell r="C10">
            <v>2002</v>
          </cell>
          <cell r="E10">
            <v>2002</v>
          </cell>
        </row>
        <row r="12">
          <cell r="A12">
            <v>5</v>
          </cell>
          <cell r="B12" t="str">
            <v>Kisegítő mezőgazdasági tevék.</v>
          </cell>
          <cell r="C12">
            <v>75</v>
          </cell>
          <cell r="D12">
            <v>0</v>
          </cell>
          <cell r="E12">
            <v>75</v>
          </cell>
        </row>
        <row r="13">
          <cell r="A13">
            <v>6</v>
          </cell>
          <cell r="B13" t="str">
            <v>Könyv- és zeneműkiadás</v>
          </cell>
          <cell r="C13">
            <v>560</v>
          </cell>
          <cell r="D13">
            <v>0</v>
          </cell>
          <cell r="E13">
            <v>560</v>
          </cell>
        </row>
        <row r="14">
          <cell r="A14">
            <v>7</v>
          </cell>
          <cell r="B14" t="str">
            <v>Lapkiadás</v>
          </cell>
          <cell r="C14">
            <v>2420</v>
          </cell>
          <cell r="D14">
            <v>0</v>
          </cell>
          <cell r="E14">
            <v>2420</v>
          </cell>
        </row>
        <row r="15">
          <cell r="A15">
            <v>9</v>
          </cell>
          <cell r="B15" t="str">
            <v>Üdültetés</v>
          </cell>
          <cell r="C15">
            <v>8832</v>
          </cell>
          <cell r="D15">
            <v>0</v>
          </cell>
          <cell r="E15">
            <v>8832</v>
          </cell>
        </row>
        <row r="16">
          <cell r="A16">
            <v>11</v>
          </cell>
          <cell r="B16" t="str">
            <v>Saját v.bérelt ingatlan hasznositás</v>
          </cell>
          <cell r="C16">
            <v>8750</v>
          </cell>
          <cell r="D16">
            <v>105000</v>
          </cell>
          <cell r="E16">
            <v>8750</v>
          </cell>
        </row>
        <row r="17">
          <cell r="A17">
            <v>12</v>
          </cell>
          <cell r="B17" t="str">
            <v>Önkormányzatok igazgatási tevékenysége</v>
          </cell>
          <cell r="C17">
            <v>82646</v>
          </cell>
          <cell r="D17">
            <v>20582</v>
          </cell>
          <cell r="E17">
            <v>103228</v>
          </cell>
        </row>
        <row r="18">
          <cell r="B18" t="str">
            <v>Folyószámlahitel igénybevétel</v>
          </cell>
          <cell r="C18">
            <v>100000</v>
          </cell>
          <cell r="D18">
            <v>0</v>
          </cell>
          <cell r="E18">
            <v>100000</v>
          </cell>
        </row>
        <row r="19">
          <cell r="B19" t="str">
            <v>Fejlesztési célhitel igénybevétel</v>
          </cell>
          <cell r="C19">
            <v>15000</v>
          </cell>
          <cell r="D19">
            <v>0</v>
          </cell>
          <cell r="E19">
            <v>15000</v>
          </cell>
        </row>
        <row r="20">
          <cell r="A20">
            <v>14</v>
          </cell>
          <cell r="B20" t="str">
            <v xml:space="preserve">Okmányiroda </v>
          </cell>
          <cell r="C20">
            <v>6000</v>
          </cell>
          <cell r="D20">
            <v>0</v>
          </cell>
          <cell r="E20">
            <v>6000</v>
          </cell>
        </row>
        <row r="21">
          <cell r="A21">
            <v>16</v>
          </cell>
          <cell r="B21" t="str">
            <v>Német Nemzetiségi Kisebbségi Önkormányzat</v>
          </cell>
          <cell r="C21">
            <v>5200</v>
          </cell>
          <cell r="D21">
            <v>1397</v>
          </cell>
          <cell r="E21">
            <v>6597</v>
          </cell>
        </row>
        <row r="22">
          <cell r="A22">
            <v>17</v>
          </cell>
          <cell r="B22" t="str">
            <v>Város és községgazdálkodási szolgáltatás</v>
          </cell>
          <cell r="C22">
            <v>500</v>
          </cell>
          <cell r="D22">
            <v>587</v>
          </cell>
          <cell r="E22">
            <v>500</v>
          </cell>
        </row>
        <row r="23">
          <cell r="A23">
            <v>18</v>
          </cell>
          <cell r="B23" t="str">
            <v>Köztemető fenntartás, üzemeltetés</v>
          </cell>
          <cell r="C23">
            <v>875</v>
          </cell>
          <cell r="D23">
            <v>2742</v>
          </cell>
          <cell r="E23">
            <v>3617</v>
          </cell>
        </row>
        <row r="24">
          <cell r="A24">
            <v>21</v>
          </cell>
          <cell r="B24" t="str">
            <v>Önkorm.-i feladatranem tervezhető elszámolás</v>
          </cell>
          <cell r="C24">
            <v>1120954</v>
          </cell>
          <cell r="D24">
            <v>8992</v>
          </cell>
          <cell r="E24">
            <v>1129946</v>
          </cell>
        </row>
        <row r="25">
          <cell r="B25" t="str">
            <v>Fejl.c.p.e.átvétel lakosságtól</v>
          </cell>
        </row>
        <row r="26">
          <cell r="A26">
            <v>22</v>
          </cell>
          <cell r="B26" t="str">
            <v>Állategészségügyi tevékenység</v>
          </cell>
          <cell r="C26">
            <v>616</v>
          </cell>
          <cell r="D26">
            <v>0</v>
          </cell>
          <cell r="E26">
            <v>616</v>
          </cell>
        </row>
        <row r="27">
          <cell r="A27">
            <v>25</v>
          </cell>
          <cell r="B27" t="str">
            <v>Szennyvízelvezetésés kezelés</v>
          </cell>
        </row>
        <row r="28">
          <cell r="A28">
            <v>26</v>
          </cell>
          <cell r="B28" t="str">
            <v>Települési hulladékokkezelési köztisztasági bev.</v>
          </cell>
          <cell r="C28">
            <v>4928</v>
          </cell>
          <cell r="D28">
            <v>0</v>
          </cell>
          <cell r="E28">
            <v>4928</v>
          </cell>
        </row>
        <row r="29">
          <cell r="A29">
            <v>27</v>
          </cell>
          <cell r="B29" t="str">
            <v>Közművelődési könyvtár</v>
          </cell>
          <cell r="C29">
            <v>1110</v>
          </cell>
          <cell r="D29">
            <v>0</v>
          </cell>
          <cell r="E29">
            <v>1110</v>
          </cell>
        </row>
        <row r="30">
          <cell r="A30">
            <v>28</v>
          </cell>
          <cell r="B30" t="str">
            <v>Mük.c.pénze.átv.kp.sz. Munk.n.Jöv.pótló</v>
          </cell>
          <cell r="C30">
            <v>0</v>
          </cell>
          <cell r="D30">
            <v>-1354</v>
          </cell>
          <cell r="E30">
            <v>-1354</v>
          </cell>
        </row>
        <row r="31">
          <cell r="B31" t="str">
            <v>Összesen</v>
          </cell>
          <cell r="C31">
            <v>1358466</v>
          </cell>
          <cell r="D31">
            <v>137946</v>
          </cell>
          <cell r="E31">
            <v>1496412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jegyzék"/>
      <sheetName val="Címrend"/>
      <sheetName val="Bevétel_kiadásegyüttesen_1_m_"/>
      <sheetName val="Bevételekmindössszesen_2_m_"/>
      <sheetName val="PolgármesteriHiv_szakf__3_m__"/>
      <sheetName val="Bevételekrészletezve_4__"/>
      <sheetName val="Kiadásokösszesen_5__"/>
      <sheetName val="Kiadásokösszesítveint__6__"/>
      <sheetName val="Bevét_kiadásintézm__7__"/>
      <sheetName val="Intézményipótlékok"/>
      <sheetName val="Létszámadatok"/>
      <sheetName val="Polg_Hiv_szakfeladkiadásai"/>
      <sheetName val="Polg_Hiv_kiadásai_11_16_m__"/>
      <sheetName val="öbbéveselkötelezettség"/>
      <sheetName val="NémetNemz_Kis_Önkorm_ktgvet_"/>
      <sheetName val="Munka13_2_"/>
      <sheetName val="Munka2"/>
      <sheetName val="Intézm_felhalm_kiadások"/>
      <sheetName val="Intézményirészletezettkiadás_"/>
      <sheetName val="Államinormatíva2003"/>
      <sheetName val="Társ_szervektámogatásai2002_"/>
    </sheetNames>
    <sheetDataSet>
      <sheetData sheetId="0"/>
      <sheetData sheetId="1"/>
      <sheetData sheetId="2"/>
      <sheetData sheetId="3"/>
      <sheetData sheetId="4">
        <row r="4">
          <cell r="A4" t="str">
            <v xml:space="preserve">Polgármesteri Hivatal 2002. évi   bevételi előirányzata </v>
          </cell>
        </row>
        <row r="5">
          <cell r="A5" t="str">
            <v>szakfeladatonkénti összesítése</v>
          </cell>
        </row>
        <row r="6">
          <cell r="E6" t="str">
            <v>3.sz. melléklet</v>
          </cell>
        </row>
        <row r="7">
          <cell r="E7" t="str">
            <v>ezer Ft-ban</v>
          </cell>
        </row>
        <row r="8">
          <cell r="E8" t="str">
            <v>Módosított</v>
          </cell>
        </row>
        <row r="9">
          <cell r="A9" t="str">
            <v>Alcím</v>
          </cell>
          <cell r="B9" t="str">
            <v>Szakfeladatok</v>
          </cell>
          <cell r="C9" t="str">
            <v>Előirányzat</v>
          </cell>
          <cell r="D9" t="str">
            <v>Módosítás</v>
          </cell>
          <cell r="E9" t="str">
            <v>előirányzat</v>
          </cell>
        </row>
        <row r="10">
          <cell r="B10" t="str">
            <v>megnevezése</v>
          </cell>
          <cell r="C10">
            <v>2002</v>
          </cell>
          <cell r="E10">
            <v>2002</v>
          </cell>
        </row>
        <row r="12">
          <cell r="A12">
            <v>5</v>
          </cell>
          <cell r="B12" t="str">
            <v>Kisegítő mezőgazdasági tevék.</v>
          </cell>
          <cell r="C12">
            <v>75</v>
          </cell>
          <cell r="D12">
            <v>0</v>
          </cell>
          <cell r="E12">
            <v>75</v>
          </cell>
        </row>
        <row r="13">
          <cell r="A13">
            <v>6</v>
          </cell>
          <cell r="B13" t="str">
            <v>Könyv- és zeneműkiadás</v>
          </cell>
          <cell r="C13">
            <v>560</v>
          </cell>
          <cell r="D13">
            <v>0</v>
          </cell>
          <cell r="E13">
            <v>560</v>
          </cell>
        </row>
        <row r="14">
          <cell r="A14">
            <v>7</v>
          </cell>
          <cell r="B14" t="str">
            <v>Lapkiadás</v>
          </cell>
          <cell r="C14">
            <v>2420</v>
          </cell>
          <cell r="D14">
            <v>0</v>
          </cell>
          <cell r="E14">
            <v>2420</v>
          </cell>
        </row>
        <row r="15">
          <cell r="A15">
            <v>9</v>
          </cell>
          <cell r="B15" t="str">
            <v>Üdültetés</v>
          </cell>
          <cell r="C15">
            <v>8832</v>
          </cell>
          <cell r="D15">
            <v>0</v>
          </cell>
          <cell r="E15">
            <v>8832</v>
          </cell>
        </row>
        <row r="16">
          <cell r="A16">
            <v>11</v>
          </cell>
          <cell r="B16" t="str">
            <v>Saját v.bérelt ingatlan hasznositás</v>
          </cell>
          <cell r="C16">
            <v>8750</v>
          </cell>
          <cell r="D16">
            <v>105000</v>
          </cell>
          <cell r="E16">
            <v>8750</v>
          </cell>
        </row>
        <row r="17">
          <cell r="A17">
            <v>12</v>
          </cell>
          <cell r="B17" t="str">
            <v>Önkormányzatok igazgatási tevékenysége</v>
          </cell>
          <cell r="C17">
            <v>82646</v>
          </cell>
          <cell r="D17">
            <v>20582</v>
          </cell>
          <cell r="E17">
            <v>103228</v>
          </cell>
        </row>
        <row r="18">
          <cell r="B18" t="str">
            <v>Folyószámlahitel igénybevétel</v>
          </cell>
          <cell r="C18">
            <v>100000</v>
          </cell>
          <cell r="D18">
            <v>0</v>
          </cell>
          <cell r="E18">
            <v>100000</v>
          </cell>
        </row>
        <row r="19">
          <cell r="B19" t="str">
            <v>Fejlesztési célhitel igénybevétel</v>
          </cell>
          <cell r="C19">
            <v>15000</v>
          </cell>
          <cell r="D19">
            <v>0</v>
          </cell>
          <cell r="E19">
            <v>15000</v>
          </cell>
        </row>
        <row r="20">
          <cell r="A20">
            <v>14</v>
          </cell>
          <cell r="B20" t="str">
            <v xml:space="preserve">Okmányiroda </v>
          </cell>
          <cell r="C20">
            <v>6000</v>
          </cell>
          <cell r="D20">
            <v>0</v>
          </cell>
          <cell r="E20">
            <v>6000</v>
          </cell>
        </row>
        <row r="21">
          <cell r="A21">
            <v>16</v>
          </cell>
          <cell r="B21" t="str">
            <v>Német Nemzetiségi Kisebbségi Önkormányzat</v>
          </cell>
          <cell r="C21">
            <v>5200</v>
          </cell>
          <cell r="D21">
            <v>1397</v>
          </cell>
          <cell r="E21">
            <v>6597</v>
          </cell>
        </row>
        <row r="22">
          <cell r="A22">
            <v>17</v>
          </cell>
          <cell r="B22" t="str">
            <v>Város és községgazdálkodási szolgáltatás</v>
          </cell>
          <cell r="C22">
            <v>500</v>
          </cell>
          <cell r="D22">
            <v>587</v>
          </cell>
          <cell r="E22">
            <v>500</v>
          </cell>
        </row>
        <row r="23">
          <cell r="A23">
            <v>18</v>
          </cell>
          <cell r="B23" t="str">
            <v>Köztemető fenntartás, üzemeltetés</v>
          </cell>
          <cell r="C23">
            <v>875</v>
          </cell>
          <cell r="D23">
            <v>2742</v>
          </cell>
          <cell r="E23">
            <v>3617</v>
          </cell>
        </row>
        <row r="24">
          <cell r="A24">
            <v>21</v>
          </cell>
          <cell r="B24" t="str">
            <v>Önkorm.-i feladatranem tervezhető elszámolás</v>
          </cell>
          <cell r="C24">
            <v>1120954</v>
          </cell>
          <cell r="D24">
            <v>8992</v>
          </cell>
          <cell r="E24">
            <v>1129946</v>
          </cell>
        </row>
        <row r="25">
          <cell r="B25" t="str">
            <v>Fejl.c.p.e.átvétel lakosságtól</v>
          </cell>
        </row>
        <row r="26">
          <cell r="A26">
            <v>22</v>
          </cell>
          <cell r="B26" t="str">
            <v>Állategészségügyi tevékenység</v>
          </cell>
          <cell r="C26">
            <v>616</v>
          </cell>
          <cell r="D26">
            <v>0</v>
          </cell>
          <cell r="E26">
            <v>616</v>
          </cell>
        </row>
        <row r="27">
          <cell r="A27">
            <v>25</v>
          </cell>
          <cell r="B27" t="str">
            <v>Szennyvízelvezetésés kezelés</v>
          </cell>
        </row>
        <row r="28">
          <cell r="A28">
            <v>26</v>
          </cell>
          <cell r="B28" t="str">
            <v>Települési hulladékokkezelési köztisztasági bev.</v>
          </cell>
          <cell r="C28">
            <v>4928</v>
          </cell>
          <cell r="D28">
            <v>0</v>
          </cell>
          <cell r="E28">
            <v>4928</v>
          </cell>
        </row>
        <row r="29">
          <cell r="A29">
            <v>27</v>
          </cell>
          <cell r="B29" t="str">
            <v>Közművelődési könyvtár</v>
          </cell>
          <cell r="C29">
            <v>1110</v>
          </cell>
          <cell r="D29">
            <v>0</v>
          </cell>
          <cell r="E29">
            <v>1110</v>
          </cell>
        </row>
        <row r="30">
          <cell r="A30">
            <v>28</v>
          </cell>
          <cell r="B30" t="str">
            <v>Mük.c.pénze.átv.kp.sz. Munk.n.Jöv.pótló</v>
          </cell>
          <cell r="C30">
            <v>0</v>
          </cell>
          <cell r="D30">
            <v>-1354</v>
          </cell>
          <cell r="E30">
            <v>-1354</v>
          </cell>
        </row>
        <row r="31">
          <cell r="B31" t="str">
            <v>Összesen</v>
          </cell>
          <cell r="C31">
            <v>1358466</v>
          </cell>
          <cell r="D31">
            <v>137946</v>
          </cell>
          <cell r="E31">
            <v>1496412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jegyzék"/>
      <sheetName val="Címrend"/>
      <sheetName val="Bevétel_kiadásegyüttesen_1_m_"/>
      <sheetName val="Bevételekmindössszesen_2_m_"/>
      <sheetName val="PolgármesteriHiv_szakf__3_m__"/>
      <sheetName val="Bevételekrészletezve_4__"/>
      <sheetName val="Kiadásokösszesen_5__"/>
      <sheetName val="Kiadásokösszesítveint__6__"/>
      <sheetName val="Bevét_kiadásintézm__7__"/>
      <sheetName val="Intézményipótlékok"/>
      <sheetName val="Létszámadatok"/>
      <sheetName val="Polg_Hiv_szakfeladkiadásai"/>
      <sheetName val="Polg_Hiv_kiadásai_11_16_m__"/>
      <sheetName val="öbbéveselkötelezettség"/>
      <sheetName val="NémetNemz_Kis_Önkorm_ktgvet_"/>
      <sheetName val="Munka13_2_"/>
      <sheetName val="Munka2"/>
      <sheetName val="Intézm_felhalm_kiadások"/>
      <sheetName val="Intézményirészletezettkiadás_"/>
      <sheetName val="Államinormatíva2003"/>
      <sheetName val="Társ_szervektámogatásai2002_"/>
    </sheetNames>
    <sheetDataSet>
      <sheetData sheetId="0"/>
      <sheetData sheetId="1"/>
      <sheetData sheetId="2"/>
      <sheetData sheetId="3"/>
      <sheetData sheetId="4">
        <row r="4">
          <cell r="A4" t="str">
            <v xml:space="preserve">Polgármesteri Hivatal 2002. évi   bevételi előirányzata </v>
          </cell>
        </row>
        <row r="5">
          <cell r="A5" t="str">
            <v>szakfeladatonkénti összesítése</v>
          </cell>
        </row>
        <row r="6">
          <cell r="E6" t="str">
            <v>3.sz. melléklet</v>
          </cell>
        </row>
        <row r="7">
          <cell r="E7" t="str">
            <v>ezer Ft-ban</v>
          </cell>
        </row>
        <row r="8">
          <cell r="E8" t="str">
            <v>Módosított</v>
          </cell>
        </row>
        <row r="9">
          <cell r="A9" t="str">
            <v>Alcím</v>
          </cell>
          <cell r="B9" t="str">
            <v>Szakfeladatok</v>
          </cell>
          <cell r="C9" t="str">
            <v>Előirányzat</v>
          </cell>
          <cell r="D9" t="str">
            <v>Módosítás</v>
          </cell>
          <cell r="E9" t="str">
            <v>előirányzat</v>
          </cell>
        </row>
        <row r="10">
          <cell r="B10" t="str">
            <v>megnevezése</v>
          </cell>
          <cell r="C10">
            <v>2002</v>
          </cell>
          <cell r="E10">
            <v>2002</v>
          </cell>
        </row>
        <row r="12">
          <cell r="A12">
            <v>5</v>
          </cell>
          <cell r="B12" t="str">
            <v>Kisegítő mezőgazdasági tevék.</v>
          </cell>
          <cell r="C12">
            <v>75</v>
          </cell>
          <cell r="D12">
            <v>0</v>
          </cell>
          <cell r="E12">
            <v>75</v>
          </cell>
        </row>
        <row r="13">
          <cell r="A13">
            <v>6</v>
          </cell>
          <cell r="B13" t="str">
            <v>Könyv- és zeneműkiadás</v>
          </cell>
          <cell r="C13">
            <v>560</v>
          </cell>
          <cell r="D13">
            <v>0</v>
          </cell>
          <cell r="E13">
            <v>560</v>
          </cell>
        </row>
        <row r="14">
          <cell r="A14">
            <v>7</v>
          </cell>
          <cell r="B14" t="str">
            <v>Lapkiadás</v>
          </cell>
          <cell r="C14">
            <v>2420</v>
          </cell>
          <cell r="D14">
            <v>0</v>
          </cell>
          <cell r="E14">
            <v>2420</v>
          </cell>
        </row>
        <row r="15">
          <cell r="A15">
            <v>9</v>
          </cell>
          <cell r="B15" t="str">
            <v>Üdültetés</v>
          </cell>
          <cell r="C15">
            <v>8832</v>
          </cell>
          <cell r="D15">
            <v>0</v>
          </cell>
          <cell r="E15">
            <v>8832</v>
          </cell>
        </row>
        <row r="16">
          <cell r="A16">
            <v>11</v>
          </cell>
          <cell r="B16" t="str">
            <v>Saját v.bérelt ingatlan hasznositás</v>
          </cell>
          <cell r="C16">
            <v>8750</v>
          </cell>
          <cell r="D16">
            <v>105000</v>
          </cell>
          <cell r="E16">
            <v>8750</v>
          </cell>
        </row>
        <row r="17">
          <cell r="A17">
            <v>12</v>
          </cell>
          <cell r="B17" t="str">
            <v>Önkormányzatok igazgatási tevékenysége</v>
          </cell>
          <cell r="C17">
            <v>82646</v>
          </cell>
          <cell r="D17">
            <v>20582</v>
          </cell>
          <cell r="E17">
            <v>103228</v>
          </cell>
        </row>
        <row r="18">
          <cell r="B18" t="str">
            <v>Folyószámlahitel igénybevétel</v>
          </cell>
          <cell r="C18">
            <v>100000</v>
          </cell>
          <cell r="D18">
            <v>0</v>
          </cell>
          <cell r="E18">
            <v>100000</v>
          </cell>
        </row>
        <row r="19">
          <cell r="B19" t="str">
            <v>Fejlesztési célhitel igénybevétel</v>
          </cell>
          <cell r="C19">
            <v>15000</v>
          </cell>
          <cell r="D19">
            <v>0</v>
          </cell>
          <cell r="E19">
            <v>15000</v>
          </cell>
        </row>
        <row r="20">
          <cell r="A20">
            <v>14</v>
          </cell>
          <cell r="B20" t="str">
            <v xml:space="preserve">Okmányiroda </v>
          </cell>
          <cell r="C20">
            <v>6000</v>
          </cell>
          <cell r="D20">
            <v>0</v>
          </cell>
          <cell r="E20">
            <v>6000</v>
          </cell>
        </row>
        <row r="21">
          <cell r="A21">
            <v>16</v>
          </cell>
          <cell r="B21" t="str">
            <v>Német Nemzetiségi Kisebbségi Önkormányzat</v>
          </cell>
          <cell r="C21">
            <v>5200</v>
          </cell>
          <cell r="D21">
            <v>1397</v>
          </cell>
          <cell r="E21">
            <v>6597</v>
          </cell>
        </row>
        <row r="22">
          <cell r="A22">
            <v>17</v>
          </cell>
          <cell r="B22" t="str">
            <v>Város és községgazdálkodási szolgáltatás</v>
          </cell>
          <cell r="C22">
            <v>500</v>
          </cell>
          <cell r="D22">
            <v>587</v>
          </cell>
          <cell r="E22">
            <v>500</v>
          </cell>
        </row>
        <row r="23">
          <cell r="A23">
            <v>18</v>
          </cell>
          <cell r="B23" t="str">
            <v>Köztemető fenntartás, üzemeltetés</v>
          </cell>
          <cell r="C23">
            <v>875</v>
          </cell>
          <cell r="D23">
            <v>2742</v>
          </cell>
          <cell r="E23">
            <v>3617</v>
          </cell>
        </row>
        <row r="24">
          <cell r="A24">
            <v>21</v>
          </cell>
          <cell r="B24" t="str">
            <v>Önkorm.-i feladatranem tervezhető elszámolás</v>
          </cell>
          <cell r="C24">
            <v>1120954</v>
          </cell>
          <cell r="D24">
            <v>8992</v>
          </cell>
          <cell r="E24">
            <v>1129946</v>
          </cell>
        </row>
        <row r="25">
          <cell r="B25" t="str">
            <v>Fejl.c.p.e.átvétel lakosságtól</v>
          </cell>
        </row>
        <row r="26">
          <cell r="A26">
            <v>22</v>
          </cell>
          <cell r="B26" t="str">
            <v>Állategészségügyi tevékenység</v>
          </cell>
          <cell r="C26">
            <v>616</v>
          </cell>
          <cell r="D26">
            <v>0</v>
          </cell>
          <cell r="E26">
            <v>616</v>
          </cell>
        </row>
        <row r="27">
          <cell r="A27">
            <v>25</v>
          </cell>
          <cell r="B27" t="str">
            <v>Szennyvízelvezetésés kezelés</v>
          </cell>
        </row>
        <row r="28">
          <cell r="A28">
            <v>26</v>
          </cell>
          <cell r="B28" t="str">
            <v>Települési hulladékokkezelési köztisztasági bev.</v>
          </cell>
          <cell r="C28">
            <v>4928</v>
          </cell>
          <cell r="D28">
            <v>0</v>
          </cell>
          <cell r="E28">
            <v>4928</v>
          </cell>
        </row>
        <row r="29">
          <cell r="A29">
            <v>27</v>
          </cell>
          <cell r="B29" t="str">
            <v>Közművelődési könyvtár</v>
          </cell>
          <cell r="C29">
            <v>1110</v>
          </cell>
          <cell r="D29">
            <v>0</v>
          </cell>
          <cell r="E29">
            <v>1110</v>
          </cell>
        </row>
        <row r="30">
          <cell r="A30">
            <v>28</v>
          </cell>
          <cell r="B30" t="str">
            <v>Mük.c.pénze.átv.kp.sz. Munk.n.Jöv.pótló</v>
          </cell>
          <cell r="C30">
            <v>0</v>
          </cell>
          <cell r="D30">
            <v>-1354</v>
          </cell>
          <cell r="E30">
            <v>-1354</v>
          </cell>
        </row>
        <row r="31">
          <cell r="B31" t="str">
            <v>Összesen</v>
          </cell>
          <cell r="C31">
            <v>1358466</v>
          </cell>
          <cell r="D31">
            <v>137946</v>
          </cell>
          <cell r="E31">
            <v>1496412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jegyzék"/>
      <sheetName val="Címrend"/>
      <sheetName val="Bevétel_kiadásegyüttesen_1_m_"/>
      <sheetName val="Bevételekmindössszesen_2_m_"/>
      <sheetName val="PolgármesteriHiv_szakf__3_m__"/>
      <sheetName val="Bevételekrészletezve_4__"/>
      <sheetName val="Kiadásokösszesen_5__"/>
      <sheetName val="Kiadásokösszesítveint__6__"/>
      <sheetName val="Bevét_kiadásintézm__7__"/>
      <sheetName val="Intézményipótlékok"/>
      <sheetName val="Létszámadatok"/>
      <sheetName val="Polg_Hiv_szakfeladkiadásai"/>
      <sheetName val="Polg_Hiv_kiadásai_11_16_m__"/>
      <sheetName val="öbbéveselkötelezettség"/>
      <sheetName val="NémetNemz_Kis_Önkorm_ktgvet_"/>
      <sheetName val="Munka13_2_"/>
      <sheetName val="Munka2"/>
      <sheetName val="Intézm_felhalm_kiadások"/>
      <sheetName val="Intézményirészletezettkiadás_"/>
      <sheetName val="Államinormatíva2003"/>
      <sheetName val="Társ_szervektámogatásai2002_"/>
    </sheetNames>
    <sheetDataSet>
      <sheetData sheetId="0"/>
      <sheetData sheetId="1"/>
      <sheetData sheetId="2"/>
      <sheetData sheetId="3"/>
      <sheetData sheetId="4">
        <row r="4">
          <cell r="A4" t="str">
            <v xml:space="preserve">Polgármesteri Hivatal 2002. évi   bevételi előirányzata </v>
          </cell>
        </row>
        <row r="5">
          <cell r="A5" t="str">
            <v>szakfeladatonkénti összesítése</v>
          </cell>
        </row>
        <row r="6">
          <cell r="E6" t="str">
            <v>3.sz. melléklet</v>
          </cell>
        </row>
        <row r="7">
          <cell r="E7" t="str">
            <v>ezer Ft-ban</v>
          </cell>
        </row>
        <row r="8">
          <cell r="E8" t="str">
            <v>Módosított</v>
          </cell>
        </row>
        <row r="9">
          <cell r="A9" t="str">
            <v>Alcím</v>
          </cell>
          <cell r="B9" t="str">
            <v>Szakfeladatok</v>
          </cell>
          <cell r="C9" t="str">
            <v>Előirányzat</v>
          </cell>
          <cell r="D9" t="str">
            <v>Módosítás</v>
          </cell>
          <cell r="E9" t="str">
            <v>előirányzat</v>
          </cell>
        </row>
        <row r="10">
          <cell r="B10" t="str">
            <v>megnevezése</v>
          </cell>
          <cell r="C10">
            <v>2002</v>
          </cell>
          <cell r="E10">
            <v>2002</v>
          </cell>
        </row>
        <row r="12">
          <cell r="A12">
            <v>5</v>
          </cell>
          <cell r="B12" t="str">
            <v>Kisegítő mezőgazdasági tevék.</v>
          </cell>
          <cell r="C12">
            <v>75</v>
          </cell>
          <cell r="D12">
            <v>0</v>
          </cell>
          <cell r="E12">
            <v>75</v>
          </cell>
        </row>
        <row r="13">
          <cell r="A13">
            <v>6</v>
          </cell>
          <cell r="B13" t="str">
            <v>Könyv- és zeneműkiadás</v>
          </cell>
          <cell r="C13">
            <v>560</v>
          </cell>
          <cell r="D13">
            <v>0</v>
          </cell>
          <cell r="E13">
            <v>560</v>
          </cell>
        </row>
        <row r="14">
          <cell r="A14">
            <v>7</v>
          </cell>
          <cell r="B14" t="str">
            <v>Lapkiadás</v>
          </cell>
          <cell r="C14">
            <v>2420</v>
          </cell>
          <cell r="D14">
            <v>0</v>
          </cell>
          <cell r="E14">
            <v>2420</v>
          </cell>
        </row>
        <row r="15">
          <cell r="A15">
            <v>9</v>
          </cell>
          <cell r="B15" t="str">
            <v>Üdültetés</v>
          </cell>
          <cell r="C15">
            <v>8832</v>
          </cell>
          <cell r="D15">
            <v>0</v>
          </cell>
          <cell r="E15">
            <v>8832</v>
          </cell>
        </row>
        <row r="16">
          <cell r="A16">
            <v>11</v>
          </cell>
          <cell r="B16" t="str">
            <v>Saját v.bérelt ingatlan hasznositás</v>
          </cell>
          <cell r="C16">
            <v>8750</v>
          </cell>
          <cell r="D16">
            <v>105000</v>
          </cell>
          <cell r="E16">
            <v>8750</v>
          </cell>
        </row>
        <row r="17">
          <cell r="A17">
            <v>12</v>
          </cell>
          <cell r="B17" t="str">
            <v>Önkormányzatok igazgatási tevékenysége</v>
          </cell>
          <cell r="C17">
            <v>82646</v>
          </cell>
          <cell r="D17">
            <v>20582</v>
          </cell>
          <cell r="E17">
            <v>103228</v>
          </cell>
        </row>
        <row r="18">
          <cell r="B18" t="str">
            <v>Folyószámlahitel igénybevétel</v>
          </cell>
          <cell r="C18">
            <v>100000</v>
          </cell>
          <cell r="D18">
            <v>0</v>
          </cell>
          <cell r="E18">
            <v>100000</v>
          </cell>
        </row>
        <row r="19">
          <cell r="B19" t="str">
            <v>Fejlesztési célhitel igénybevétel</v>
          </cell>
          <cell r="C19">
            <v>15000</v>
          </cell>
          <cell r="D19">
            <v>0</v>
          </cell>
          <cell r="E19">
            <v>15000</v>
          </cell>
        </row>
        <row r="20">
          <cell r="A20">
            <v>14</v>
          </cell>
          <cell r="B20" t="str">
            <v xml:space="preserve">Okmányiroda </v>
          </cell>
          <cell r="C20">
            <v>6000</v>
          </cell>
          <cell r="D20">
            <v>0</v>
          </cell>
          <cell r="E20">
            <v>6000</v>
          </cell>
        </row>
        <row r="21">
          <cell r="A21">
            <v>16</v>
          </cell>
          <cell r="B21" t="str">
            <v>Német Nemzetiségi Kisebbségi Önkormányzat</v>
          </cell>
          <cell r="C21">
            <v>5200</v>
          </cell>
          <cell r="D21">
            <v>1397</v>
          </cell>
          <cell r="E21">
            <v>6597</v>
          </cell>
        </row>
        <row r="22">
          <cell r="A22">
            <v>17</v>
          </cell>
          <cell r="B22" t="str">
            <v>Város és községgazdálkodási szolgáltatás</v>
          </cell>
          <cell r="C22">
            <v>500</v>
          </cell>
          <cell r="D22">
            <v>587</v>
          </cell>
          <cell r="E22">
            <v>500</v>
          </cell>
        </row>
        <row r="23">
          <cell r="A23">
            <v>18</v>
          </cell>
          <cell r="B23" t="str">
            <v>Köztemető fenntartás, üzemeltetés</v>
          </cell>
          <cell r="C23">
            <v>875</v>
          </cell>
          <cell r="D23">
            <v>2742</v>
          </cell>
          <cell r="E23">
            <v>3617</v>
          </cell>
        </row>
        <row r="24">
          <cell r="A24">
            <v>21</v>
          </cell>
          <cell r="B24" t="str">
            <v>Önkorm.-i feladatranem tervezhető elszámolás</v>
          </cell>
          <cell r="C24">
            <v>1120954</v>
          </cell>
          <cell r="D24">
            <v>8992</v>
          </cell>
          <cell r="E24">
            <v>1129946</v>
          </cell>
        </row>
        <row r="25">
          <cell r="B25" t="str">
            <v>Fejl.c.p.e.átvétel lakosságtól</v>
          </cell>
        </row>
        <row r="26">
          <cell r="A26">
            <v>22</v>
          </cell>
          <cell r="B26" t="str">
            <v>Állategészségügyi tevékenység</v>
          </cell>
          <cell r="C26">
            <v>616</v>
          </cell>
          <cell r="D26">
            <v>0</v>
          </cell>
          <cell r="E26">
            <v>616</v>
          </cell>
        </row>
        <row r="27">
          <cell r="A27">
            <v>25</v>
          </cell>
          <cell r="B27" t="str">
            <v>Szennyvízelvezetésés kezelés</v>
          </cell>
        </row>
        <row r="28">
          <cell r="A28">
            <v>26</v>
          </cell>
          <cell r="B28" t="str">
            <v>Települési hulladékokkezelési köztisztasági bev.</v>
          </cell>
          <cell r="C28">
            <v>4928</v>
          </cell>
          <cell r="D28">
            <v>0</v>
          </cell>
          <cell r="E28">
            <v>4928</v>
          </cell>
        </row>
        <row r="29">
          <cell r="A29">
            <v>27</v>
          </cell>
          <cell r="B29" t="str">
            <v>Közművelődési könyvtár</v>
          </cell>
          <cell r="C29">
            <v>1110</v>
          </cell>
          <cell r="D29">
            <v>0</v>
          </cell>
          <cell r="E29">
            <v>1110</v>
          </cell>
        </row>
        <row r="30">
          <cell r="A30">
            <v>28</v>
          </cell>
          <cell r="B30" t="str">
            <v>Mük.c.pénze.átv.kp.sz. Munk.n.Jöv.pótló</v>
          </cell>
          <cell r="C30">
            <v>0</v>
          </cell>
          <cell r="D30">
            <v>-1354</v>
          </cell>
          <cell r="E30">
            <v>-1354</v>
          </cell>
        </row>
        <row r="31">
          <cell r="B31" t="str">
            <v>Összesen</v>
          </cell>
          <cell r="C31">
            <v>1358466</v>
          </cell>
          <cell r="D31">
            <v>137946</v>
          </cell>
          <cell r="E31">
            <v>1496412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jegyzék"/>
      <sheetName val="Címrend"/>
      <sheetName val="Bevétel_kiadásegyüttesen_1_m_"/>
      <sheetName val="Bevételekmindössszesen_2_m_"/>
      <sheetName val="PolgármesteriHiv_szakf__3_m__"/>
      <sheetName val="Bevételekrészletezve_4__"/>
      <sheetName val="Kiadásokösszesen_5__"/>
      <sheetName val="Kiadásokösszesítveint__6__"/>
      <sheetName val="Bevét_kiadásintézm__7__"/>
      <sheetName val="Intézményipótlékok"/>
      <sheetName val="Létszámadatok"/>
      <sheetName val="Polg_Hiv_szakfeladkiadásai"/>
      <sheetName val="Polg_Hiv_kiadásai_11_16_m__"/>
      <sheetName val="öbbéveselkötelezettség"/>
      <sheetName val="NémetNemz_Kis_Önkorm_ktgvet_"/>
      <sheetName val="Munka13_2_"/>
      <sheetName val="Munka2"/>
      <sheetName val="Intézm_felhalm_kiadások"/>
      <sheetName val="Intézményirészletezettkiadás_"/>
      <sheetName val="Államinormatíva2003"/>
      <sheetName val="Társ_szervektámogatásai2002_"/>
    </sheetNames>
    <sheetDataSet>
      <sheetData sheetId="0"/>
      <sheetData sheetId="1"/>
      <sheetData sheetId="2"/>
      <sheetData sheetId="3"/>
      <sheetData sheetId="4">
        <row r="4">
          <cell r="A4" t="str">
            <v xml:space="preserve">Polgármesteri Hivatal 2002. évi   bevételi előirányzata </v>
          </cell>
        </row>
        <row r="5">
          <cell r="A5" t="str">
            <v>szakfeladatonkénti összesítése</v>
          </cell>
        </row>
        <row r="6">
          <cell r="E6" t="str">
            <v>3.sz. melléklet</v>
          </cell>
        </row>
        <row r="7">
          <cell r="E7" t="str">
            <v>ezer Ft-ban</v>
          </cell>
        </row>
        <row r="8">
          <cell r="E8" t="str">
            <v>Módosított</v>
          </cell>
        </row>
        <row r="9">
          <cell r="A9" t="str">
            <v>Alcím</v>
          </cell>
          <cell r="B9" t="str">
            <v>Szakfeladatok</v>
          </cell>
          <cell r="C9" t="str">
            <v>Előirányzat</v>
          </cell>
          <cell r="D9" t="str">
            <v>Módosítás</v>
          </cell>
          <cell r="E9" t="str">
            <v>előirányzat</v>
          </cell>
        </row>
        <row r="10">
          <cell r="B10" t="str">
            <v>megnevezése</v>
          </cell>
          <cell r="C10">
            <v>2002</v>
          </cell>
          <cell r="E10">
            <v>2002</v>
          </cell>
        </row>
        <row r="12">
          <cell r="A12">
            <v>5</v>
          </cell>
          <cell r="B12" t="str">
            <v>Kisegítő mezőgazdasági tevék.</v>
          </cell>
          <cell r="C12">
            <v>75</v>
          </cell>
          <cell r="D12">
            <v>0</v>
          </cell>
          <cell r="E12">
            <v>75</v>
          </cell>
        </row>
        <row r="13">
          <cell r="A13">
            <v>6</v>
          </cell>
          <cell r="B13" t="str">
            <v>Könyv- és zeneműkiadás</v>
          </cell>
          <cell r="C13">
            <v>560</v>
          </cell>
          <cell r="D13">
            <v>0</v>
          </cell>
          <cell r="E13">
            <v>560</v>
          </cell>
        </row>
        <row r="14">
          <cell r="A14">
            <v>7</v>
          </cell>
          <cell r="B14" t="str">
            <v>Lapkiadás</v>
          </cell>
          <cell r="C14">
            <v>2420</v>
          </cell>
          <cell r="D14">
            <v>0</v>
          </cell>
          <cell r="E14">
            <v>2420</v>
          </cell>
        </row>
        <row r="15">
          <cell r="A15">
            <v>9</v>
          </cell>
          <cell r="B15" t="str">
            <v>Üdültetés</v>
          </cell>
          <cell r="C15">
            <v>8832</v>
          </cell>
          <cell r="D15">
            <v>0</v>
          </cell>
          <cell r="E15">
            <v>8832</v>
          </cell>
        </row>
        <row r="16">
          <cell r="A16">
            <v>11</v>
          </cell>
          <cell r="B16" t="str">
            <v>Saját v.bérelt ingatlan hasznositás</v>
          </cell>
          <cell r="C16">
            <v>8750</v>
          </cell>
          <cell r="D16">
            <v>105000</v>
          </cell>
          <cell r="E16">
            <v>8750</v>
          </cell>
        </row>
        <row r="17">
          <cell r="A17">
            <v>12</v>
          </cell>
          <cell r="B17" t="str">
            <v>Önkormányzatok igazgatási tevékenysége</v>
          </cell>
          <cell r="C17">
            <v>82646</v>
          </cell>
          <cell r="D17">
            <v>20582</v>
          </cell>
          <cell r="E17">
            <v>103228</v>
          </cell>
        </row>
        <row r="18">
          <cell r="B18" t="str">
            <v>Folyószámlahitel igénybevétel</v>
          </cell>
          <cell r="C18">
            <v>100000</v>
          </cell>
          <cell r="D18">
            <v>0</v>
          </cell>
          <cell r="E18">
            <v>100000</v>
          </cell>
        </row>
        <row r="19">
          <cell r="B19" t="str">
            <v>Fejlesztési célhitel igénybevétel</v>
          </cell>
          <cell r="C19">
            <v>15000</v>
          </cell>
          <cell r="D19">
            <v>0</v>
          </cell>
          <cell r="E19">
            <v>15000</v>
          </cell>
        </row>
        <row r="20">
          <cell r="A20">
            <v>14</v>
          </cell>
          <cell r="B20" t="str">
            <v xml:space="preserve">Okmányiroda </v>
          </cell>
          <cell r="C20">
            <v>6000</v>
          </cell>
          <cell r="D20">
            <v>0</v>
          </cell>
          <cell r="E20">
            <v>6000</v>
          </cell>
        </row>
        <row r="21">
          <cell r="A21">
            <v>16</v>
          </cell>
          <cell r="B21" t="str">
            <v>Német Nemzetiségi Kisebbségi Önkormányzat</v>
          </cell>
          <cell r="C21">
            <v>5200</v>
          </cell>
          <cell r="D21">
            <v>1397</v>
          </cell>
          <cell r="E21">
            <v>6597</v>
          </cell>
        </row>
        <row r="22">
          <cell r="A22">
            <v>17</v>
          </cell>
          <cell r="B22" t="str">
            <v>Város és községgazdálkodási szolgáltatás</v>
          </cell>
          <cell r="C22">
            <v>500</v>
          </cell>
          <cell r="D22">
            <v>587</v>
          </cell>
          <cell r="E22">
            <v>500</v>
          </cell>
        </row>
        <row r="23">
          <cell r="A23">
            <v>18</v>
          </cell>
          <cell r="B23" t="str">
            <v>Köztemető fenntartás, üzemeltetés</v>
          </cell>
          <cell r="C23">
            <v>875</v>
          </cell>
          <cell r="D23">
            <v>2742</v>
          </cell>
          <cell r="E23">
            <v>3617</v>
          </cell>
        </row>
        <row r="24">
          <cell r="A24">
            <v>21</v>
          </cell>
          <cell r="B24" t="str">
            <v>Önkorm.-i feladatranem tervezhető elszámolás</v>
          </cell>
          <cell r="C24">
            <v>1120954</v>
          </cell>
          <cell r="D24">
            <v>8992</v>
          </cell>
          <cell r="E24">
            <v>1129946</v>
          </cell>
        </row>
        <row r="25">
          <cell r="B25" t="str">
            <v>Fejl.c.p.e.átvétel lakosságtól</v>
          </cell>
        </row>
        <row r="26">
          <cell r="A26">
            <v>22</v>
          </cell>
          <cell r="B26" t="str">
            <v>Állategészségügyi tevékenység</v>
          </cell>
          <cell r="C26">
            <v>616</v>
          </cell>
          <cell r="D26">
            <v>0</v>
          </cell>
          <cell r="E26">
            <v>616</v>
          </cell>
        </row>
        <row r="27">
          <cell r="A27">
            <v>25</v>
          </cell>
          <cell r="B27" t="str">
            <v>Szennyvízelvezetésés kezelés</v>
          </cell>
        </row>
        <row r="28">
          <cell r="A28">
            <v>26</v>
          </cell>
          <cell r="B28" t="str">
            <v>Települési hulladékokkezelési köztisztasági bev.</v>
          </cell>
          <cell r="C28">
            <v>4928</v>
          </cell>
          <cell r="D28">
            <v>0</v>
          </cell>
          <cell r="E28">
            <v>4928</v>
          </cell>
        </row>
        <row r="29">
          <cell r="A29">
            <v>27</v>
          </cell>
          <cell r="B29" t="str">
            <v>Közművelődési könyvtár</v>
          </cell>
          <cell r="C29">
            <v>1110</v>
          </cell>
          <cell r="D29">
            <v>0</v>
          </cell>
          <cell r="E29">
            <v>1110</v>
          </cell>
        </row>
        <row r="30">
          <cell r="A30">
            <v>28</v>
          </cell>
          <cell r="B30" t="str">
            <v>Mük.c.pénze.átv.kp.sz. Munk.n.Jöv.pótló</v>
          </cell>
          <cell r="C30">
            <v>0</v>
          </cell>
          <cell r="D30">
            <v>-1354</v>
          </cell>
          <cell r="E30">
            <v>-1354</v>
          </cell>
        </row>
        <row r="31">
          <cell r="B31" t="str">
            <v>Összesen</v>
          </cell>
          <cell r="C31">
            <v>1358466</v>
          </cell>
          <cell r="D31">
            <v>137946</v>
          </cell>
          <cell r="E31">
            <v>1496412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Tartalomjegyzék_2021"/>
      <sheetName val="1.Bev_kiad_kiemelt ei"/>
      <sheetName val="2.Bevételek_részletes"/>
      <sheetName val="2.Kiadások_részletes "/>
      <sheetName val="3. Gesz költségvetés"/>
      <sheetName val="4. Köt+önk_Önkori"/>
      <sheetName val="5. Köt+önk_PH"/>
      <sheetName val="6. Köt+önk_Szakorvosi"/>
      <sheetName val="7.Ligeti cseperedő Ovi"/>
      <sheetName val="8.Német nemzetiségi Ovi"/>
      <sheetName val="9.Művészetek Háza"/>
      <sheetName val="10.GESZ"/>
      <sheetName val="11. Bölcsöde"/>
      <sheetName val="12.-Támogatási bevételek (B (2)"/>
      <sheetName val="13.- Költségvetési támogatások"/>
      <sheetName val="14. Intézményi normatíva"/>
      <sheetName val="15. Működési bev. (B3,B4)"/>
      <sheetName val="16. Átvett pénze.(B6,B7)"/>
      <sheetName val="17. finanszírozás be_ki (B8,K9)"/>
      <sheetName val="Munka2"/>
      <sheetName val="18. Dologi kiadások cofog(K3)"/>
      <sheetName val="19. Dologi kiad.igazg. (K3)"/>
      <sheetName val="20._Ellátottak p.jutattás (K4)"/>
      <sheetName val="21. Pe. átad. és tám. (K5)"/>
      <sheetName val="22. Tartalékok (K512)"/>
      <sheetName val="23. Beruházás (K6)"/>
      <sheetName val="24. Felújítás (K7)"/>
      <sheetName val="25.-Több éves elköt."/>
      <sheetName val="26.sz.létszám"/>
      <sheetName val="27. ktgv.mérleg"/>
      <sheetName val="28.eir.felh.ütemterv"/>
      <sheetName val="29.sz.finansz.ütemterv"/>
      <sheetName val="30.sz.közvetett tám. (2)"/>
      <sheetName val="31.sz.adósságszolgálat"/>
      <sheetName val="32. gördülő"/>
      <sheetName val="33. EU projekt"/>
    </sheetNames>
    <sheetDataSet>
      <sheetData sheetId="0"/>
      <sheetData sheetId="1">
        <row r="1">
          <cell r="A1" t="str">
            <v>Pilisvörösvár Város Önkormányzata Képviselő-testületének /2021. (. .) önkormányzati rendelete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az Önkormányzat  2021. évi költségvetéséről</v>
          </cell>
          <cell r="B2"/>
          <cell r="C2"/>
          <cell r="D2"/>
          <cell r="E2"/>
          <cell r="F2"/>
        </row>
        <row r="8">
          <cell r="D8" t="str">
            <v>Önkormányzat 2020. évi eredeti előirányzat</v>
          </cell>
          <cell r="E8" t="str">
            <v>Önkormányzat 2021. évi eredeti előirányzat</v>
          </cell>
          <cell r="F8" t="str">
            <v>Polgármesteri Hivatal 2020. évi eredeti előirányzat</v>
          </cell>
          <cell r="G8" t="str">
            <v>Polgármesteri Hivatal 2021. évi eredeti előirányzat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Tartalomjegyzék_2020"/>
      <sheetName val="1.Bev_kiad_kiemelt ei"/>
      <sheetName val="2.Bevételek_részletes"/>
      <sheetName val="2.Kiadások_részletes "/>
      <sheetName val="3. Gesz költségvetés"/>
      <sheetName val="4. Köt+önk_Önkori"/>
      <sheetName val="5. Köt+önk_PH"/>
      <sheetName val="6. Köt+önk_Szakorvosi"/>
      <sheetName val="7.Ligeti cseperedő Ovi"/>
      <sheetName val="8.Német nemzetiségi Ovi"/>
      <sheetName val="9.Művészetek Háza"/>
      <sheetName val="10.GESZ"/>
      <sheetName val="11. Bölcsöde"/>
      <sheetName val="12.-Támogatási bevételek (B (2)"/>
      <sheetName val="13.- Költségvetési támogatások"/>
      <sheetName val="14. Intézményi normatíva"/>
      <sheetName val="15. Működési bev. (B3,B4)"/>
      <sheetName val="16. Átvett pénze.(B6,B7)"/>
      <sheetName val="17. finanszírozás be_ki (B8,K9)"/>
      <sheetName val="18. Dologi kiadások cofog(K3)"/>
      <sheetName val="19. Dologi kiad.igazg. (K3)"/>
      <sheetName val="20._Ellátottak p.jutattás (K4)"/>
      <sheetName val="21. Pe. átad. és tám. (K5)"/>
      <sheetName val="22. Tartalékok (K512)"/>
      <sheetName val="23. Beruházás (K6)"/>
      <sheetName val="24. Felújítás (K7)"/>
      <sheetName val="25.-Több éves elköt."/>
      <sheetName val="26.sz.létszám"/>
      <sheetName val="27. ktgv.mérleg"/>
      <sheetName val="28.eir.felh.ütemterv"/>
      <sheetName val="29.sz.finansz.ütemterv"/>
      <sheetName val="30.sz.közvetett tám."/>
      <sheetName val="31.sz.adósságszolgálat"/>
      <sheetName val="32. gördülő"/>
      <sheetName val="33. EU projekt"/>
    </sheetNames>
    <sheetDataSet>
      <sheetData sheetId="0"/>
      <sheetData sheetId="1"/>
      <sheetData sheetId="2"/>
      <sheetData sheetId="3">
        <row r="6">
          <cell r="N6" t="str">
            <v>ezer Ft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2:B25"/>
  <sheetViews>
    <sheetView workbookViewId="0">
      <selection activeCell="B13" sqref="B13"/>
    </sheetView>
  </sheetViews>
  <sheetFormatPr defaultRowHeight="13.8" x14ac:dyDescent="0.3"/>
  <sheetData>
    <row r="2" spans="2:2" x14ac:dyDescent="0.3">
      <c r="B2" s="1361" t="s">
        <v>736</v>
      </c>
    </row>
    <row r="3" spans="2:2" x14ac:dyDescent="0.3">
      <c r="B3" s="1361" t="s">
        <v>737</v>
      </c>
    </row>
    <row r="4" spans="2:2" x14ac:dyDescent="0.3">
      <c r="B4" s="1361" t="s">
        <v>738</v>
      </c>
    </row>
    <row r="5" spans="2:2" x14ac:dyDescent="0.3">
      <c r="B5" s="1361" t="s">
        <v>739</v>
      </c>
    </row>
    <row r="6" spans="2:2" x14ac:dyDescent="0.3">
      <c r="B6" s="1361" t="s">
        <v>740</v>
      </c>
    </row>
    <row r="7" spans="2:2" x14ac:dyDescent="0.3">
      <c r="B7" s="1361" t="s">
        <v>741</v>
      </c>
    </row>
    <row r="8" spans="2:2" x14ac:dyDescent="0.3">
      <c r="B8" s="1361" t="s">
        <v>742</v>
      </c>
    </row>
    <row r="9" spans="2:2" x14ac:dyDescent="0.3">
      <c r="B9" s="1361" t="s">
        <v>743</v>
      </c>
    </row>
    <row r="10" spans="2:2" x14ac:dyDescent="0.3">
      <c r="B10" s="1361" t="s">
        <v>744</v>
      </c>
    </row>
    <row r="11" spans="2:2" x14ac:dyDescent="0.3">
      <c r="B11" s="1361" t="s">
        <v>745</v>
      </c>
    </row>
    <row r="12" spans="2:2" x14ac:dyDescent="0.3">
      <c r="B12" s="1361" t="s">
        <v>746</v>
      </c>
    </row>
    <row r="13" spans="2:2" x14ac:dyDescent="0.3">
      <c r="B13" s="1361" t="s">
        <v>747</v>
      </c>
    </row>
    <row r="14" spans="2:2" x14ac:dyDescent="0.3">
      <c r="B14" s="1361" t="s">
        <v>748</v>
      </c>
    </row>
    <row r="15" spans="2:2" x14ac:dyDescent="0.3">
      <c r="B15" s="1361" t="s">
        <v>749</v>
      </c>
    </row>
    <row r="16" spans="2:2" x14ac:dyDescent="0.3">
      <c r="B16" s="1361" t="s">
        <v>750</v>
      </c>
    </row>
    <row r="17" spans="2:2" x14ac:dyDescent="0.3">
      <c r="B17" s="1361" t="s">
        <v>751</v>
      </c>
    </row>
    <row r="18" spans="2:2" x14ac:dyDescent="0.3">
      <c r="B18" s="1361" t="s">
        <v>752</v>
      </c>
    </row>
    <row r="19" spans="2:2" x14ac:dyDescent="0.3">
      <c r="B19" s="1361" t="s">
        <v>753</v>
      </c>
    </row>
    <row r="20" spans="2:2" x14ac:dyDescent="0.3">
      <c r="B20" s="1361" t="s">
        <v>754</v>
      </c>
    </row>
    <row r="21" spans="2:2" x14ac:dyDescent="0.3">
      <c r="B21" s="1361" t="s">
        <v>755</v>
      </c>
    </row>
    <row r="22" spans="2:2" x14ac:dyDescent="0.3">
      <c r="B22" s="1361" t="s">
        <v>756</v>
      </c>
    </row>
    <row r="23" spans="2:2" x14ac:dyDescent="0.3">
      <c r="B23" s="1361" t="s">
        <v>757</v>
      </c>
    </row>
    <row r="24" spans="2:2" x14ac:dyDescent="0.3">
      <c r="B24" s="1361" t="s">
        <v>788</v>
      </c>
    </row>
    <row r="25" spans="2:2" x14ac:dyDescent="0.3">
      <c r="B25" s="1361" t="s">
        <v>789</v>
      </c>
    </row>
  </sheetData>
  <hyperlinks>
    <hyperlink ref="B2" location="'1.Bev_kiad_kiemelt ei'!A1" display="'1.Bev_kiad_kiemelt ei'!A1" xr:uid="{00000000-0004-0000-0000-000000000000}"/>
    <hyperlink ref="B3" location="'2.Bevételek_részletes'!A1" display="'2.Bevételek_részletes'!A1" xr:uid="{00000000-0004-0000-0000-000001000000}"/>
    <hyperlink ref="B4" location="'2.Kiadások_részletes '!A1" display="'2.Kiadások_részletes '!A1" xr:uid="{00000000-0004-0000-0000-000002000000}"/>
    <hyperlink ref="B5" location="'3. Gesz költségvetés'!A1" display="'3. Gesz költségvetés'!A1" xr:uid="{00000000-0004-0000-0000-000003000000}"/>
    <hyperlink ref="B6" location="'12.-Támogatási bevételek (B (2)'!A1" display="'12.-Támogatási bevételek (B (2)'!A1" xr:uid="{00000000-0004-0000-0000-000004000000}"/>
    <hyperlink ref="B7" location="'13.- Költségvetési támogatások'!A1" display="'13.- Költségvetési támogatások'!A1" xr:uid="{00000000-0004-0000-0000-000005000000}"/>
    <hyperlink ref="B8" location="'14. Intézményi normatíva'!A1" display="'14. Intézményi normatíva'!A1" xr:uid="{00000000-0004-0000-0000-000006000000}"/>
    <hyperlink ref="B9" location="'15. Működési bev. (B3,B4)'!Nyomtatási_terület" display="'15. Működési bev. (B3,B4)'!Nyomtatási_terület" xr:uid="{00000000-0004-0000-0000-000007000000}"/>
    <hyperlink ref="B10" location="'16. Átvett pénze.(B6,B7)'!Nyomtatási_terület" display="'16. Átvett pénze.(B6,B7)'!Nyomtatási_terület" xr:uid="{00000000-0004-0000-0000-000008000000}"/>
    <hyperlink ref="B11" location="'17. finanszírozás be_ki (B8,K9)'!Nyomtatási_terület" display="'17. finanszírozás be_ki (B8,K9)'!Nyomtatási_terület" xr:uid="{00000000-0004-0000-0000-000009000000}"/>
    <hyperlink ref="B12" location="'18. Dologi kiadások cofog(K3)'!Nyomtatási_terület" display="'18. Dologi kiadások cofog(K3)'!Nyomtatási_terület" xr:uid="{00000000-0004-0000-0000-00000A000000}"/>
    <hyperlink ref="B13" location="'20._Ellátottak p.jutattás (K4)'!Nyomtatási_terület" display="'20._Ellátottak p.jutattás (K4)'!Nyomtatási_terület" xr:uid="{00000000-0004-0000-0000-00000B000000}"/>
    <hyperlink ref="B14" location="'21. Pe. átad. és tám. (K5)'!A1" display="'21. Pe. átad. és tám. (K5)'!A1" xr:uid="{00000000-0004-0000-0000-00000C000000}"/>
    <hyperlink ref="B15" location="'22. Tartalékok (K512)'!Nyomtatási_terület" display="'22. Tartalékok (K512)'!Nyomtatási_terület" xr:uid="{00000000-0004-0000-0000-00000D000000}"/>
    <hyperlink ref="B16" location="'23. Beruházás (K6)'!Nyomtatási_terület" display="'23. Beruházás (K6)'!Nyomtatási_terület" xr:uid="{00000000-0004-0000-0000-00000E000000}"/>
    <hyperlink ref="B17" location="'24. Felújítás (K7)'!Nyomtatási_terület" display="'24. Felújítás (K7)'!Nyomtatási_terület" xr:uid="{00000000-0004-0000-0000-00000F000000}"/>
    <hyperlink ref="B18" location="'25.-Több éves elköt.'!Nyomtatási_terület" display="'25.-Több éves elköt.'!Nyomtatási_terület" xr:uid="{00000000-0004-0000-0000-000010000000}"/>
    <hyperlink ref="B19" location="'26.sz.létszám'!Nyomtatási_terület" display="'26.sz.létszám'!Nyomtatási_terület" xr:uid="{00000000-0004-0000-0000-000011000000}"/>
    <hyperlink ref="B20" location="'27. ktgv.mérleg'!Nyomtatási_terület" display="'27. ktgv.mérleg'!Nyomtatási_terület" xr:uid="{00000000-0004-0000-0000-000012000000}"/>
    <hyperlink ref="B21" location="'28.eir.felh.ütemterv'!Nyomtatási_terület" display="'28.eir.felh.ütemterv'!Nyomtatási_terület" xr:uid="{00000000-0004-0000-0000-000013000000}"/>
    <hyperlink ref="B22" location="'29.sz.finansz.ütemterv'!Nyomtatási_terület" display="'29.sz.finansz.ütemterv'!Nyomtatási_terület" xr:uid="{00000000-0004-0000-0000-000014000000}"/>
    <hyperlink ref="B23" location="'30.sz.közvetett tám. (2)'!A1" display="'30.sz.közvetett tám. (2)'!A1" xr:uid="{00000000-0004-0000-0000-000015000000}"/>
    <hyperlink ref="B24" location="'31.sz.adósságszolgálat'!Nyomtatási_terület" display="'31.sz.adósságszolgálat'!Nyomtatási_terület" xr:uid="{00000000-0004-0000-0000-000016000000}"/>
    <hyperlink ref="B25" location="'32. gördülő'!Nyomtatási_terület" display="'32. gördülő'!Nyomtatási_terület" xr:uid="{00000000-0004-0000-0000-000017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9">
    <tabColor rgb="FF92D050"/>
    <pageSetUpPr fitToPage="1"/>
  </sheetPr>
  <dimension ref="A1:L81"/>
  <sheetViews>
    <sheetView view="pageBreakPreview" topLeftCell="A49" zoomScaleSheetLayoutView="100" workbookViewId="0">
      <selection activeCell="B14" sqref="B14"/>
    </sheetView>
  </sheetViews>
  <sheetFormatPr defaultColWidth="9.109375" defaultRowHeight="15" customHeight="1" x14ac:dyDescent="0.25"/>
  <cols>
    <col min="1" max="1" width="14.109375" style="86" customWidth="1"/>
    <col min="2" max="2" width="74.88671875" style="86" customWidth="1"/>
    <col min="3" max="3" width="15.44140625" style="86" customWidth="1"/>
    <col min="4" max="4" width="12.5546875" style="86" customWidth="1"/>
    <col min="5" max="5" width="13" style="86" customWidth="1"/>
    <col min="6" max="6" width="14.6640625" style="86" customWidth="1"/>
    <col min="7" max="15" width="0" style="86" hidden="1" customWidth="1"/>
    <col min="16" max="16384" width="9.109375" style="86"/>
  </cols>
  <sheetData>
    <row r="1" spans="1:6" ht="17.399999999999999" x14ac:dyDescent="0.3">
      <c r="A1" s="1841" t="str">
        <f>'6. Köt+önk_Szakorvosi'!A1:F1</f>
        <v>Pilisvörösvár Város Önkormányzata Képviselő-testületének 1/2021. (II. 15.) önkormányzati rendelete</v>
      </c>
      <c r="B1" s="1841"/>
      <c r="C1" s="1841"/>
      <c r="D1" s="1841"/>
      <c r="E1" s="1841"/>
      <c r="F1" s="1841"/>
    </row>
    <row r="2" spans="1:6" ht="17.399999999999999" x14ac:dyDescent="0.3">
      <c r="A2" s="1841" t="str">
        <f>'6. Köt+önk_Szakorvosi'!A2:F2</f>
        <v>az Önkormányzat  2021. évi költségvetéséről</v>
      </c>
      <c r="B2" s="1841"/>
      <c r="C2" s="1841"/>
      <c r="D2" s="1841"/>
      <c r="E2" s="1841"/>
      <c r="F2" s="1841"/>
    </row>
    <row r="4" spans="1:6" ht="17.399999999999999" x14ac:dyDescent="0.3">
      <c r="A4" s="1842" t="str">
        <f>Tartalomjegyzék_2021!B14</f>
        <v>Ligeti Cseperedő Óvoda költségvetése kötelező és önként vállalt feladat szerinti bontásban</v>
      </c>
      <c r="B4" s="1842"/>
      <c r="C4" s="1842"/>
      <c r="D4" s="1842"/>
      <c r="E4" s="1842"/>
      <c r="F4" s="1842"/>
    </row>
    <row r="5" spans="1:6" ht="18" x14ac:dyDescent="0.35">
      <c r="F5" s="272" t="s">
        <v>16</v>
      </c>
    </row>
    <row r="6" spans="1:6" ht="15" customHeight="1" thickBot="1" x14ac:dyDescent="0.4">
      <c r="F6" s="272" t="s">
        <v>201</v>
      </c>
    </row>
    <row r="7" spans="1:6" ht="18" x14ac:dyDescent="0.25">
      <c r="A7" s="1834" t="s">
        <v>242</v>
      </c>
      <c r="B7" s="1836" t="s">
        <v>553</v>
      </c>
      <c r="C7" s="1836" t="s">
        <v>822</v>
      </c>
      <c r="D7" s="1838" t="s">
        <v>823</v>
      </c>
      <c r="E7" s="1839"/>
      <c r="F7" s="1840"/>
    </row>
    <row r="8" spans="1:6" ht="50.4" x14ac:dyDescent="0.25">
      <c r="A8" s="1835"/>
      <c r="B8" s="1837"/>
      <c r="C8" s="1837"/>
      <c r="D8" s="917" t="s">
        <v>117</v>
      </c>
      <c r="E8" s="917" t="s">
        <v>118</v>
      </c>
      <c r="F8" s="939" t="s">
        <v>243</v>
      </c>
    </row>
    <row r="9" spans="1:6" s="48" customFormat="1" ht="15" customHeight="1" x14ac:dyDescent="0.3">
      <c r="A9" s="102" t="s">
        <v>253</v>
      </c>
      <c r="B9" s="103" t="s">
        <v>252</v>
      </c>
      <c r="C9" s="103"/>
      <c r="D9" s="112"/>
      <c r="E9" s="112"/>
      <c r="F9" s="113">
        <f t="shared" ref="E9:F38" si="0">D9+E9</f>
        <v>0</v>
      </c>
    </row>
    <row r="10" spans="1:6" s="48" customFormat="1" ht="15" customHeight="1" x14ac:dyDescent="0.3">
      <c r="A10" s="102" t="s">
        <v>255</v>
      </c>
      <c r="B10" s="103" t="s">
        <v>254</v>
      </c>
      <c r="C10" s="112"/>
      <c r="D10" s="112"/>
      <c r="E10" s="112"/>
      <c r="F10" s="113">
        <f t="shared" si="0"/>
        <v>0</v>
      </c>
    </row>
    <row r="11" spans="1:6" s="48" customFormat="1" ht="15" customHeight="1" x14ac:dyDescent="0.3">
      <c r="A11" s="108" t="s">
        <v>257</v>
      </c>
      <c r="B11" s="93" t="s">
        <v>256</v>
      </c>
      <c r="C11" s="136"/>
      <c r="D11" s="136"/>
      <c r="E11" s="136"/>
      <c r="F11" s="137">
        <f t="shared" si="0"/>
        <v>0</v>
      </c>
    </row>
    <row r="12" spans="1:6" ht="15" customHeight="1" x14ac:dyDescent="0.3">
      <c r="A12" s="108" t="s">
        <v>261</v>
      </c>
      <c r="B12" s="93" t="s">
        <v>260</v>
      </c>
      <c r="C12" s="136"/>
      <c r="D12" s="136"/>
      <c r="E12" s="136"/>
      <c r="F12" s="137">
        <f t="shared" si="0"/>
        <v>0</v>
      </c>
    </row>
    <row r="13" spans="1:6" ht="15" customHeight="1" x14ac:dyDescent="0.3">
      <c r="A13" s="614" t="s">
        <v>113</v>
      </c>
      <c r="B13" s="615" t="s">
        <v>123</v>
      </c>
      <c r="C13" s="136"/>
      <c r="D13" s="112"/>
      <c r="E13" s="136"/>
      <c r="F13" s="113">
        <f t="shared" si="0"/>
        <v>0</v>
      </c>
    </row>
    <row r="14" spans="1:6" s="48" customFormat="1" ht="15" customHeight="1" x14ac:dyDescent="0.3">
      <c r="A14" s="102" t="s">
        <v>82</v>
      </c>
      <c r="B14" s="103" t="s">
        <v>122</v>
      </c>
      <c r="C14" s="112"/>
      <c r="D14" s="112"/>
      <c r="E14" s="112"/>
      <c r="F14" s="113">
        <f t="shared" si="0"/>
        <v>0</v>
      </c>
    </row>
    <row r="15" spans="1:6" s="48" customFormat="1" ht="15" customHeight="1" x14ac:dyDescent="0.3">
      <c r="A15" s="102" t="s">
        <v>263</v>
      </c>
      <c r="B15" s="103" t="s">
        <v>119</v>
      </c>
      <c r="C15" s="112"/>
      <c r="D15" s="112"/>
      <c r="E15" s="112"/>
      <c r="F15" s="113">
        <f t="shared" si="0"/>
        <v>0</v>
      </c>
    </row>
    <row r="16" spans="1:6" s="48" customFormat="1" ht="15" customHeight="1" x14ac:dyDescent="0.3">
      <c r="A16" s="108" t="s">
        <v>265</v>
      </c>
      <c r="B16" s="93" t="s">
        <v>264</v>
      </c>
      <c r="C16" s="136"/>
      <c r="D16" s="136"/>
      <c r="E16" s="136"/>
      <c r="F16" s="137">
        <f t="shared" si="0"/>
        <v>0</v>
      </c>
    </row>
    <row r="17" spans="1:8" s="48" customFormat="1" ht="15" customHeight="1" x14ac:dyDescent="0.3">
      <c r="A17" s="102" t="s">
        <v>90</v>
      </c>
      <c r="B17" s="95" t="s">
        <v>266</v>
      </c>
      <c r="C17" s="112"/>
      <c r="D17" s="112"/>
      <c r="E17" s="112"/>
      <c r="F17" s="113">
        <v>0</v>
      </c>
    </row>
    <row r="18" spans="1:8" s="48" customFormat="1" ht="15" customHeight="1" x14ac:dyDescent="0.3">
      <c r="A18" s="102" t="s">
        <v>89</v>
      </c>
      <c r="B18" s="103" t="s">
        <v>680</v>
      </c>
      <c r="C18" s="112">
        <f>'3. Gesz költségvetés'!C20</f>
        <v>300</v>
      </c>
      <c r="D18" s="112"/>
      <c r="E18" s="112"/>
      <c r="F18" s="113">
        <f>D18+E18</f>
        <v>0</v>
      </c>
    </row>
    <row r="19" spans="1:8" s="48" customFormat="1" ht="15" customHeight="1" x14ac:dyDescent="0.3">
      <c r="A19" s="102" t="s">
        <v>88</v>
      </c>
      <c r="B19" s="103" t="s">
        <v>84</v>
      </c>
      <c r="C19" s="112"/>
      <c r="D19" s="112"/>
      <c r="E19" s="112"/>
      <c r="F19" s="113">
        <f t="shared" si="0"/>
        <v>0</v>
      </c>
    </row>
    <row r="20" spans="1:8" s="48" customFormat="1" ht="15" customHeight="1" x14ac:dyDescent="0.3">
      <c r="A20" s="102" t="s">
        <v>272</v>
      </c>
      <c r="B20" s="103" t="s">
        <v>271</v>
      </c>
      <c r="C20" s="112"/>
      <c r="D20" s="112"/>
      <c r="E20" s="112"/>
      <c r="F20" s="113">
        <f t="shared" si="0"/>
        <v>0</v>
      </c>
    </row>
    <row r="21" spans="1:8" s="48" customFormat="1" ht="15" customHeight="1" x14ac:dyDescent="0.3">
      <c r="A21" s="102" t="s">
        <v>274</v>
      </c>
      <c r="B21" s="103" t="s">
        <v>273</v>
      </c>
      <c r="C21" s="112"/>
      <c r="D21" s="112"/>
      <c r="E21" s="112"/>
      <c r="F21" s="113">
        <f t="shared" si="0"/>
        <v>0</v>
      </c>
    </row>
    <row r="22" spans="1:8" s="48" customFormat="1" ht="15" customHeight="1" x14ac:dyDescent="0.3">
      <c r="A22" s="102" t="s">
        <v>277</v>
      </c>
      <c r="B22" s="103" t="s">
        <v>276</v>
      </c>
      <c r="C22" s="112"/>
      <c r="D22" s="112"/>
      <c r="E22" s="112"/>
      <c r="F22" s="113">
        <f t="shared" si="0"/>
        <v>0</v>
      </c>
    </row>
    <row r="23" spans="1:8" s="48" customFormat="1" ht="15" customHeight="1" x14ac:dyDescent="0.3">
      <c r="A23" s="108" t="s">
        <v>279</v>
      </c>
      <c r="B23" s="94" t="s">
        <v>278</v>
      </c>
      <c r="C23" s="136">
        <f>SUM(C17:C22)</f>
        <v>300</v>
      </c>
      <c r="D23" s="136">
        <f t="shared" ref="D23:E23" si="1">SUM(D17:D22)</f>
        <v>0</v>
      </c>
      <c r="E23" s="136">
        <f t="shared" si="1"/>
        <v>0</v>
      </c>
      <c r="F23" s="137">
        <f t="shared" si="0"/>
        <v>0</v>
      </c>
    </row>
    <row r="24" spans="1:8" s="48" customFormat="1" ht="16.8" x14ac:dyDescent="0.3">
      <c r="A24" s="108" t="s">
        <v>285</v>
      </c>
      <c r="B24" s="93" t="s">
        <v>284</v>
      </c>
      <c r="C24" s="136"/>
      <c r="D24" s="136"/>
      <c r="E24" s="136"/>
      <c r="F24" s="137">
        <f t="shared" si="0"/>
        <v>0</v>
      </c>
    </row>
    <row r="25" spans="1:8" s="48" customFormat="1" ht="15" customHeight="1" x14ac:dyDescent="0.3">
      <c r="A25" s="108" t="s">
        <v>289</v>
      </c>
      <c r="B25" s="93" t="s">
        <v>288</v>
      </c>
      <c r="C25" s="136"/>
      <c r="D25" s="136"/>
      <c r="E25" s="136"/>
      <c r="F25" s="137">
        <f t="shared" si="0"/>
        <v>0</v>
      </c>
    </row>
    <row r="26" spans="1:8" s="48" customFormat="1" ht="15" customHeight="1" x14ac:dyDescent="0.3">
      <c r="A26" s="102" t="s">
        <v>291</v>
      </c>
      <c r="B26" s="103" t="s">
        <v>290</v>
      </c>
      <c r="C26" s="112"/>
      <c r="D26" s="112"/>
      <c r="E26" s="112"/>
      <c r="F26" s="113">
        <f t="shared" si="0"/>
        <v>0</v>
      </c>
    </row>
    <row r="27" spans="1:8" s="48" customFormat="1" ht="15" customHeight="1" x14ac:dyDescent="0.3">
      <c r="A27" s="102" t="s">
        <v>293</v>
      </c>
      <c r="B27" s="95" t="s">
        <v>292</v>
      </c>
      <c r="C27" s="112"/>
      <c r="D27" s="112"/>
      <c r="E27" s="112"/>
      <c r="F27" s="113">
        <f t="shared" si="0"/>
        <v>0</v>
      </c>
    </row>
    <row r="28" spans="1:8" s="48" customFormat="1" ht="15" customHeight="1" x14ac:dyDescent="0.3">
      <c r="A28" s="108" t="s">
        <v>295</v>
      </c>
      <c r="B28" s="93" t="s">
        <v>294</v>
      </c>
      <c r="C28" s="136"/>
      <c r="D28" s="112"/>
      <c r="E28" s="136"/>
      <c r="F28" s="113">
        <f t="shared" si="0"/>
        <v>0</v>
      </c>
    </row>
    <row r="29" spans="1:8" s="48" customFormat="1" ht="15" customHeight="1" x14ac:dyDescent="0.3">
      <c r="A29" s="114"/>
      <c r="B29" s="115" t="s">
        <v>71</v>
      </c>
      <c r="C29" s="116">
        <f>C11+C12+C16+C23+C25</f>
        <v>300</v>
      </c>
      <c r="D29" s="116">
        <f>D11+D12+D16+D23+D25</f>
        <v>0</v>
      </c>
      <c r="E29" s="116">
        <f>E11+E12+E16+E23+E25</f>
        <v>0</v>
      </c>
      <c r="F29" s="117">
        <f>D29+E29</f>
        <v>0</v>
      </c>
    </row>
    <row r="30" spans="1:8" ht="15" customHeight="1" x14ac:dyDescent="0.3">
      <c r="A30" s="114"/>
      <c r="B30" s="115" t="s">
        <v>72</v>
      </c>
      <c r="C30" s="116">
        <f>C24+C28</f>
        <v>0</v>
      </c>
      <c r="D30" s="116">
        <f>D24+D28</f>
        <v>0</v>
      </c>
      <c r="E30" s="116">
        <f>E24+E28</f>
        <v>0</v>
      </c>
      <c r="F30" s="117">
        <f t="shared" si="0"/>
        <v>0</v>
      </c>
    </row>
    <row r="31" spans="1:8" ht="15" customHeight="1" x14ac:dyDescent="0.3">
      <c r="A31" s="105" t="s">
        <v>297</v>
      </c>
      <c r="B31" s="100" t="s">
        <v>296</v>
      </c>
      <c r="C31" s="109">
        <f>SUM(C29:C30)</f>
        <v>300</v>
      </c>
      <c r="D31" s="109">
        <f t="shared" ref="D31:F31" si="2">SUM(D29:D30)</f>
        <v>0</v>
      </c>
      <c r="E31" s="109">
        <f t="shared" si="2"/>
        <v>0</v>
      </c>
      <c r="F31" s="109">
        <f t="shared" si="2"/>
        <v>0</v>
      </c>
      <c r="H31" s="110"/>
    </row>
    <row r="32" spans="1:8" ht="15" customHeight="1" x14ac:dyDescent="0.3">
      <c r="A32" s="118"/>
      <c r="B32" s="119" t="s">
        <v>298</v>
      </c>
      <c r="C32" s="120">
        <f t="shared" ref="C32:E33" si="3">C29-C59</f>
        <v>-194829</v>
      </c>
      <c r="D32" s="120">
        <f t="shared" si="3"/>
        <v>0</v>
      </c>
      <c r="E32" s="120">
        <f t="shared" si="3"/>
        <v>0</v>
      </c>
      <c r="F32" s="121">
        <f t="shared" si="0"/>
        <v>0</v>
      </c>
    </row>
    <row r="33" spans="1:12" ht="15" customHeight="1" x14ac:dyDescent="0.3">
      <c r="A33" s="118"/>
      <c r="B33" s="119" t="s">
        <v>299</v>
      </c>
      <c r="C33" s="120">
        <f t="shared" si="3"/>
        <v>-762</v>
      </c>
      <c r="D33" s="120">
        <f t="shared" si="3"/>
        <v>0</v>
      </c>
      <c r="E33" s="120">
        <f t="shared" si="3"/>
        <v>0</v>
      </c>
      <c r="F33" s="121">
        <f t="shared" si="0"/>
        <v>0</v>
      </c>
    </row>
    <row r="34" spans="1:12" ht="15" customHeight="1" x14ac:dyDescent="0.3">
      <c r="A34" s="107" t="s">
        <v>303</v>
      </c>
      <c r="B34" s="95" t="s">
        <v>302</v>
      </c>
      <c r="C34" s="112"/>
      <c r="D34" s="112">
        <v>0</v>
      </c>
      <c r="E34" s="112">
        <f t="shared" si="0"/>
        <v>0</v>
      </c>
      <c r="F34" s="113">
        <f t="shared" si="0"/>
        <v>0</v>
      </c>
    </row>
    <row r="35" spans="1:12" ht="15" customHeight="1" x14ac:dyDescent="0.3">
      <c r="A35" s="107" t="s">
        <v>305</v>
      </c>
      <c r="B35" s="103" t="s">
        <v>304</v>
      </c>
      <c r="C35" s="112"/>
      <c r="D35" s="112"/>
      <c r="E35" s="112">
        <f t="shared" si="0"/>
        <v>0</v>
      </c>
      <c r="F35" s="113">
        <f t="shared" si="0"/>
        <v>0</v>
      </c>
    </row>
    <row r="36" spans="1:12" ht="29.25" customHeight="1" x14ac:dyDescent="0.3">
      <c r="A36" s="107" t="s">
        <v>305</v>
      </c>
      <c r="B36" s="103" t="s">
        <v>306</v>
      </c>
      <c r="C36" s="112"/>
      <c r="D36" s="112">
        <v>0</v>
      </c>
      <c r="E36" s="112">
        <f t="shared" si="0"/>
        <v>0</v>
      </c>
      <c r="F36" s="113">
        <f t="shared" si="0"/>
        <v>0</v>
      </c>
    </row>
    <row r="37" spans="1:12" s="48" customFormat="1" ht="15" customHeight="1" x14ac:dyDescent="0.3">
      <c r="A37" s="107" t="s">
        <v>308</v>
      </c>
      <c r="B37" s="103" t="s">
        <v>307</v>
      </c>
      <c r="C37" s="112"/>
      <c r="D37" s="112"/>
      <c r="E37" s="112">
        <f t="shared" si="0"/>
        <v>0</v>
      </c>
      <c r="F37" s="113">
        <f t="shared" si="0"/>
        <v>0</v>
      </c>
    </row>
    <row r="38" spans="1:12" ht="15" customHeight="1" x14ac:dyDescent="0.3">
      <c r="A38" s="107" t="s">
        <v>310</v>
      </c>
      <c r="B38" s="103" t="s">
        <v>309</v>
      </c>
      <c r="C38" s="112">
        <f>'3. Gesz költségvetés'!C33</f>
        <v>195591</v>
      </c>
      <c r="D38" s="112">
        <f>'3. Gesz költségvetés'!D33</f>
        <v>0</v>
      </c>
      <c r="E38" s="112">
        <v>0</v>
      </c>
      <c r="F38" s="113">
        <f t="shared" si="0"/>
        <v>0</v>
      </c>
    </row>
    <row r="39" spans="1:12" ht="15" customHeight="1" x14ac:dyDescent="0.3">
      <c r="A39" s="130" t="s">
        <v>318</v>
      </c>
      <c r="B39" s="129" t="s">
        <v>317</v>
      </c>
      <c r="C39" s="109">
        <f>SUM(C34:C38)</f>
        <v>195591</v>
      </c>
      <c r="D39" s="109">
        <f t="shared" ref="D39:F39" si="4">SUM(D34:D38)</f>
        <v>0</v>
      </c>
      <c r="E39" s="109">
        <f t="shared" si="4"/>
        <v>0</v>
      </c>
      <c r="F39" s="109">
        <f t="shared" si="4"/>
        <v>0</v>
      </c>
    </row>
    <row r="40" spans="1:12" ht="17.399999999999999" thickBot="1" x14ac:dyDescent="0.35">
      <c r="A40" s="140"/>
      <c r="B40" s="141" t="s">
        <v>234</v>
      </c>
      <c r="C40" s="1327">
        <f>C31+C38</f>
        <v>195891</v>
      </c>
      <c r="D40" s="1327">
        <f t="shared" ref="D40:F40" si="5">D31+D38</f>
        <v>0</v>
      </c>
      <c r="E40" s="1327">
        <f t="shared" si="5"/>
        <v>0</v>
      </c>
      <c r="F40" s="1327">
        <f t="shared" si="5"/>
        <v>0</v>
      </c>
      <c r="G40" s="449"/>
    </row>
    <row r="41" spans="1:12" ht="15" customHeight="1" thickBot="1" x14ac:dyDescent="0.35">
      <c r="A41" s="681"/>
      <c r="B41" s="681"/>
      <c r="C41" s="1330"/>
      <c r="D41" s="1330"/>
      <c r="E41" s="1330"/>
      <c r="F41" s="1330"/>
    </row>
    <row r="42" spans="1:12" ht="18.75" customHeight="1" x14ac:dyDescent="0.25">
      <c r="A42" s="1834" t="s">
        <v>242</v>
      </c>
      <c r="B42" s="1836" t="s">
        <v>554</v>
      </c>
      <c r="C42" s="1331" t="s">
        <v>730</v>
      </c>
      <c r="D42" s="1845" t="s">
        <v>823</v>
      </c>
      <c r="E42" s="1846"/>
      <c r="F42" s="1847"/>
    </row>
    <row r="43" spans="1:12" ht="50.4" x14ac:dyDescent="0.25">
      <c r="A43" s="1835"/>
      <c r="B43" s="1837"/>
      <c r="C43" s="1328" t="s">
        <v>117</v>
      </c>
      <c r="D43" s="917" t="s">
        <v>117</v>
      </c>
      <c r="E43" s="917" t="s">
        <v>118</v>
      </c>
      <c r="F43" s="939" t="s">
        <v>243</v>
      </c>
    </row>
    <row r="44" spans="1:12" ht="15" customHeight="1" x14ac:dyDescent="0.3">
      <c r="A44" s="91" t="s">
        <v>166</v>
      </c>
      <c r="B44" s="92" t="s">
        <v>167</v>
      </c>
      <c r="C44" s="1329">
        <f>'3. Gesz költségvetés'!C39</f>
        <v>151252</v>
      </c>
      <c r="D44" s="112">
        <f>'3. Gesz költségvetés'!D39</f>
        <v>0</v>
      </c>
      <c r="E44" s="112"/>
      <c r="F44" s="113">
        <f>D44+E44</f>
        <v>0</v>
      </c>
    </row>
    <row r="45" spans="1:12" ht="15" customHeight="1" x14ac:dyDescent="0.3">
      <c r="A45" s="91" t="s">
        <v>168</v>
      </c>
      <c r="B45" s="103" t="s">
        <v>169</v>
      </c>
      <c r="C45" s="112">
        <f>'3. Gesz költségvetés'!C40</f>
        <v>27374</v>
      </c>
      <c r="D45" s="112">
        <f>'3. Gesz költségvetés'!D40</f>
        <v>0</v>
      </c>
      <c r="E45" s="112"/>
      <c r="F45" s="113">
        <f t="shared" ref="F45:F58" si="6">D45+E45</f>
        <v>0</v>
      </c>
    </row>
    <row r="46" spans="1:12" ht="15" customHeight="1" x14ac:dyDescent="0.3">
      <c r="A46" s="91" t="s">
        <v>170</v>
      </c>
      <c r="B46" s="103" t="s">
        <v>171</v>
      </c>
      <c r="C46" s="112">
        <f>'3. Gesz költségvetés'!C41</f>
        <v>16503</v>
      </c>
      <c r="D46" s="112">
        <f>'3. Gesz költségvetés'!D41-E46</f>
        <v>0</v>
      </c>
      <c r="E46" s="112"/>
      <c r="F46" s="113">
        <f t="shared" si="6"/>
        <v>0</v>
      </c>
      <c r="H46" s="86">
        <v>0</v>
      </c>
      <c r="J46" s="86">
        <v>0</v>
      </c>
      <c r="L46" s="86">
        <v>0</v>
      </c>
    </row>
    <row r="47" spans="1:12" ht="15" customHeight="1" x14ac:dyDescent="0.3">
      <c r="A47" s="91" t="s">
        <v>172</v>
      </c>
      <c r="B47" s="95" t="s">
        <v>23</v>
      </c>
      <c r="C47" s="112"/>
      <c r="D47" s="112"/>
      <c r="E47" s="112"/>
      <c r="F47" s="113">
        <f t="shared" si="6"/>
        <v>0</v>
      </c>
    </row>
    <row r="48" spans="1:12" ht="15" customHeight="1" x14ac:dyDescent="0.3">
      <c r="A48" s="91" t="s">
        <v>173</v>
      </c>
      <c r="B48" s="96" t="s">
        <v>174</v>
      </c>
      <c r="C48" s="112"/>
      <c r="D48" s="112"/>
      <c r="E48" s="112"/>
      <c r="F48" s="113">
        <f t="shared" si="6"/>
        <v>0</v>
      </c>
    </row>
    <row r="49" spans="1:6" ht="15" customHeight="1" x14ac:dyDescent="0.3">
      <c r="A49" s="91" t="s">
        <v>176</v>
      </c>
      <c r="B49" s="96" t="s">
        <v>175</v>
      </c>
      <c r="C49" s="112"/>
      <c r="D49" s="112"/>
      <c r="E49" s="112"/>
      <c r="F49" s="113">
        <f t="shared" si="6"/>
        <v>0</v>
      </c>
    </row>
    <row r="50" spans="1:6" ht="15" customHeight="1" x14ac:dyDescent="0.3">
      <c r="A50" s="91" t="s">
        <v>544</v>
      </c>
      <c r="B50" s="97" t="s">
        <v>177</v>
      </c>
      <c r="C50" s="112"/>
      <c r="D50" s="112"/>
      <c r="E50" s="112"/>
      <c r="F50" s="113">
        <f t="shared" si="6"/>
        <v>0</v>
      </c>
    </row>
    <row r="51" spans="1:6" ht="15" customHeight="1" x14ac:dyDescent="0.3">
      <c r="A51" s="91" t="s">
        <v>544</v>
      </c>
      <c r="B51" s="97" t="s">
        <v>121</v>
      </c>
      <c r="C51" s="112"/>
      <c r="D51" s="112"/>
      <c r="E51" s="112"/>
      <c r="F51" s="113">
        <f t="shared" si="6"/>
        <v>0</v>
      </c>
    </row>
    <row r="52" spans="1:6" ht="15" customHeight="1" x14ac:dyDescent="0.3">
      <c r="A52" s="91" t="s">
        <v>544</v>
      </c>
      <c r="B52" s="97" t="s">
        <v>178</v>
      </c>
      <c r="C52" s="112"/>
      <c r="D52" s="112"/>
      <c r="E52" s="112"/>
      <c r="F52" s="113">
        <f t="shared" si="6"/>
        <v>0</v>
      </c>
    </row>
    <row r="53" spans="1:6" ht="15" customHeight="1" x14ac:dyDescent="0.3">
      <c r="A53" s="91" t="s">
        <v>179</v>
      </c>
      <c r="B53" s="95" t="s">
        <v>180</v>
      </c>
      <c r="C53" s="112"/>
      <c r="D53" s="112"/>
      <c r="E53" s="112"/>
      <c r="F53" s="113">
        <f t="shared" si="6"/>
        <v>0</v>
      </c>
    </row>
    <row r="54" spans="1:6" ht="15" customHeight="1" x14ac:dyDescent="0.3">
      <c r="A54" s="91" t="s">
        <v>181</v>
      </c>
      <c r="B54" s="123" t="s">
        <v>321</v>
      </c>
      <c r="C54" s="112">
        <f>'3. Gesz költségvetés'!C49</f>
        <v>762</v>
      </c>
      <c r="D54" s="112">
        <f>'3. Gesz költségvetés'!D49</f>
        <v>0</v>
      </c>
      <c r="E54" s="112"/>
      <c r="F54" s="113">
        <f t="shared" si="6"/>
        <v>0</v>
      </c>
    </row>
    <row r="55" spans="1:6" ht="15" customHeight="1" x14ac:dyDescent="0.3">
      <c r="A55" s="91" t="s">
        <v>182</v>
      </c>
      <c r="B55" s="95" t="s">
        <v>183</v>
      </c>
      <c r="C55" s="112"/>
      <c r="D55" s="112"/>
      <c r="E55" s="112"/>
      <c r="F55" s="113">
        <f t="shared" si="6"/>
        <v>0</v>
      </c>
    </row>
    <row r="56" spans="1:6" ht="15" customHeight="1" x14ac:dyDescent="0.3">
      <c r="A56" s="91" t="s">
        <v>141</v>
      </c>
      <c r="B56" s="95" t="s">
        <v>120</v>
      </c>
      <c r="C56" s="112"/>
      <c r="D56" s="112"/>
      <c r="E56" s="112"/>
      <c r="F56" s="113">
        <f t="shared" si="6"/>
        <v>0</v>
      </c>
    </row>
    <row r="57" spans="1:6" ht="15" customHeight="1" x14ac:dyDescent="0.3">
      <c r="A57" s="91" t="s">
        <v>184</v>
      </c>
      <c r="B57" s="95" t="s">
        <v>185</v>
      </c>
      <c r="C57" s="112"/>
      <c r="D57" s="112"/>
      <c r="E57" s="112"/>
      <c r="F57" s="113">
        <f t="shared" si="6"/>
        <v>0</v>
      </c>
    </row>
    <row r="58" spans="1:6" ht="15" customHeight="1" x14ac:dyDescent="0.3">
      <c r="A58" s="91" t="s">
        <v>186</v>
      </c>
      <c r="B58" s="95" t="s">
        <v>187</v>
      </c>
      <c r="C58" s="112"/>
      <c r="D58" s="112"/>
      <c r="E58" s="112"/>
      <c r="F58" s="113">
        <f t="shared" si="6"/>
        <v>0</v>
      </c>
    </row>
    <row r="59" spans="1:6" ht="15" customHeight="1" x14ac:dyDescent="0.3">
      <c r="A59" s="131"/>
      <c r="B59" s="128" t="s">
        <v>202</v>
      </c>
      <c r="C59" s="138">
        <f>SUM(C44:C53)</f>
        <v>195129</v>
      </c>
      <c r="D59" s="138">
        <f>SUM(D44:D53)</f>
        <v>0</v>
      </c>
      <c r="E59" s="138">
        <f>SUM(E44:E53)</f>
        <v>0</v>
      </c>
      <c r="F59" s="139">
        <f>SUM(F44:F53)</f>
        <v>0</v>
      </c>
    </row>
    <row r="60" spans="1:6" ht="15" customHeight="1" x14ac:dyDescent="0.3">
      <c r="A60" s="131"/>
      <c r="B60" s="128" t="s">
        <v>203</v>
      </c>
      <c r="C60" s="138">
        <f>SUM(C54:C58)</f>
        <v>762</v>
      </c>
      <c r="D60" s="138">
        <f>SUM(D54:D58)</f>
        <v>0</v>
      </c>
      <c r="E60" s="138">
        <f>SUM(E54:E58)</f>
        <v>0</v>
      </c>
      <c r="F60" s="139">
        <f>SUM(F54:F58)</f>
        <v>0</v>
      </c>
    </row>
    <row r="61" spans="1:6" ht="15" customHeight="1" x14ac:dyDescent="0.3">
      <c r="A61" s="105" t="s">
        <v>188</v>
      </c>
      <c r="B61" s="100" t="s">
        <v>189</v>
      </c>
      <c r="C61" s="109">
        <f>SUM(C59:C60)</f>
        <v>195891</v>
      </c>
      <c r="D61" s="109">
        <f>SUM(D59:D60)</f>
        <v>0</v>
      </c>
      <c r="E61" s="109">
        <f>SUM(E59:E60)</f>
        <v>0</v>
      </c>
      <c r="F61" s="110">
        <f>SUM(F59:F60)</f>
        <v>0</v>
      </c>
    </row>
    <row r="62" spans="1:6" ht="15" customHeight="1" x14ac:dyDescent="0.25">
      <c r="A62" s="107" t="s">
        <v>190</v>
      </c>
      <c r="B62" s="95" t="s">
        <v>142</v>
      </c>
      <c r="C62" s="101"/>
      <c r="D62" s="101"/>
      <c r="E62" s="101"/>
      <c r="F62" s="125"/>
    </row>
    <row r="63" spans="1:6" ht="15" customHeight="1" x14ac:dyDescent="0.25">
      <c r="A63" s="107" t="s">
        <v>204</v>
      </c>
      <c r="B63" s="95" t="s">
        <v>205</v>
      </c>
      <c r="C63" s="126"/>
      <c r="D63" s="126"/>
      <c r="E63" s="126"/>
      <c r="F63" s="127"/>
    </row>
    <row r="64" spans="1:6" ht="15" customHeight="1" x14ac:dyDescent="0.3">
      <c r="A64" s="130" t="s">
        <v>200</v>
      </c>
      <c r="B64" s="129" t="s">
        <v>26</v>
      </c>
      <c r="C64" s="109">
        <f>SUM(C62:C63)</f>
        <v>0</v>
      </c>
      <c r="D64" s="109">
        <f>SUM(D62:D63)</f>
        <v>0</v>
      </c>
      <c r="E64" s="109">
        <f>SUM(E62:E63)</f>
        <v>0</v>
      </c>
      <c r="F64" s="110">
        <f>SUM(F62:F63)</f>
        <v>0</v>
      </c>
    </row>
    <row r="65" spans="1:6" ht="17.399999999999999" thickBot="1" x14ac:dyDescent="0.35">
      <c r="A65" s="140"/>
      <c r="B65" s="141" t="s">
        <v>224</v>
      </c>
      <c r="C65" s="144">
        <f>C61+C64</f>
        <v>195891</v>
      </c>
      <c r="D65" s="144">
        <f>D61+D64</f>
        <v>0</v>
      </c>
      <c r="E65" s="144">
        <f>E61+E64</f>
        <v>0</v>
      </c>
      <c r="F65" s="145">
        <f>F61+F64</f>
        <v>0</v>
      </c>
    </row>
    <row r="66" spans="1:6" ht="15" hidden="1" customHeight="1" x14ac:dyDescent="0.25"/>
    <row r="67" spans="1:6" ht="15" hidden="1" customHeight="1" x14ac:dyDescent="0.25">
      <c r="F67" s="449">
        <f>F40-F65</f>
        <v>0</v>
      </c>
    </row>
    <row r="68" spans="1:6" ht="15" hidden="1" customHeight="1" x14ac:dyDescent="0.25">
      <c r="F68" s="449"/>
    </row>
    <row r="69" spans="1:6" ht="15" hidden="1" customHeight="1" x14ac:dyDescent="0.25"/>
    <row r="70" spans="1:6" ht="15" hidden="1" customHeight="1" x14ac:dyDescent="0.25"/>
    <row r="71" spans="1:6" ht="15" hidden="1" customHeight="1" x14ac:dyDescent="0.25"/>
    <row r="72" spans="1:6" ht="15" hidden="1" customHeight="1" x14ac:dyDescent="0.25"/>
    <row r="73" spans="1:6" ht="15" hidden="1" customHeight="1" x14ac:dyDescent="0.25"/>
    <row r="74" spans="1:6" ht="15" hidden="1" customHeight="1" x14ac:dyDescent="0.25"/>
    <row r="75" spans="1:6" ht="15" hidden="1" customHeight="1" x14ac:dyDescent="0.25"/>
    <row r="76" spans="1:6" ht="15" hidden="1" customHeight="1" x14ac:dyDescent="0.25"/>
    <row r="77" spans="1:6" ht="15" hidden="1" customHeight="1" x14ac:dyDescent="0.25"/>
    <row r="78" spans="1:6" ht="15" hidden="1" customHeight="1" x14ac:dyDescent="0.25"/>
    <row r="79" spans="1:6" ht="15" hidden="1" customHeight="1" x14ac:dyDescent="0.25"/>
    <row r="80" spans="1:6" ht="15" hidden="1" customHeight="1" x14ac:dyDescent="0.25"/>
    <row r="81" ht="15" hidden="1" customHeight="1" x14ac:dyDescent="0.25"/>
  </sheetData>
  <mergeCells count="10">
    <mergeCell ref="A42:A43"/>
    <mergeCell ref="B42:B43"/>
    <mergeCell ref="D42:F42"/>
    <mergeCell ref="A1:F1"/>
    <mergeCell ref="A2:F2"/>
    <mergeCell ref="A4:F4"/>
    <mergeCell ref="A7:A8"/>
    <mergeCell ref="B7:B8"/>
    <mergeCell ref="C7:C8"/>
    <mergeCell ref="D7:F7"/>
  </mergeCells>
  <printOptions horizontalCentered="1"/>
  <pageMargins left="0.31496062992125984" right="0.27559055118110237" top="0.27559055118110237" bottom="0.31496062992125984" header="0.51181102362204722" footer="0.1574803149606299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>
    <tabColor rgb="FF92D050"/>
    <pageSetUpPr fitToPage="1"/>
  </sheetPr>
  <dimension ref="A1:H83"/>
  <sheetViews>
    <sheetView view="pageBreakPreview" topLeftCell="A55" zoomScaleSheetLayoutView="100" workbookViewId="0">
      <selection activeCell="B14" sqref="B14"/>
    </sheetView>
  </sheetViews>
  <sheetFormatPr defaultColWidth="9.109375" defaultRowHeight="15" customHeight="1" x14ac:dyDescent="0.25"/>
  <cols>
    <col min="1" max="1" width="14.109375" style="86" customWidth="1"/>
    <col min="2" max="2" width="76.6640625" style="86" customWidth="1"/>
    <col min="3" max="3" width="17.88671875" style="86" customWidth="1"/>
    <col min="4" max="4" width="12.5546875" style="86" customWidth="1"/>
    <col min="5" max="5" width="13" style="86" customWidth="1"/>
    <col min="6" max="6" width="14.44140625" style="86" customWidth="1"/>
    <col min="7" max="16384" width="9.109375" style="86"/>
  </cols>
  <sheetData>
    <row r="1" spans="1:6" ht="17.399999999999999" x14ac:dyDescent="0.3">
      <c r="A1" s="1841" t="str">
        <f>'7.Ligeti cseperedő Ovi'!A1:F1</f>
        <v>Pilisvörösvár Város Önkormányzata Képviselő-testületének 1/2021. (II. 15.) önkormányzati rendelete</v>
      </c>
      <c r="B1" s="1841"/>
      <c r="C1" s="1841"/>
      <c r="D1" s="1841"/>
      <c r="E1" s="1841"/>
      <c r="F1" s="1841"/>
    </row>
    <row r="2" spans="1:6" ht="17.399999999999999" x14ac:dyDescent="0.3">
      <c r="A2" s="1841" t="str">
        <f>'7.Ligeti cseperedő Ovi'!A2:F2</f>
        <v>az Önkormányzat  2021. évi költségvetéséről</v>
      </c>
      <c r="B2" s="1841"/>
      <c r="C2" s="1841"/>
      <c r="D2" s="1841"/>
      <c r="E2" s="1841"/>
      <c r="F2" s="1841"/>
    </row>
    <row r="4" spans="1:6" ht="15.6" x14ac:dyDescent="0.3">
      <c r="A4" s="1848" t="str">
        <f>Tartalomjegyzék_2021!B15</f>
        <v>Pilisvörösvári Német Nemzetiségi Óvoda költségvetése kötelező és önként vállalt feladat szerinti bontásban</v>
      </c>
      <c r="B4" s="1848"/>
      <c r="C4" s="1848"/>
      <c r="D4" s="1848"/>
      <c r="E4" s="1848"/>
      <c r="F4" s="1848"/>
    </row>
    <row r="5" spans="1:6" ht="18" x14ac:dyDescent="0.35">
      <c r="F5" s="272" t="s">
        <v>17</v>
      </c>
    </row>
    <row r="6" spans="1:6" ht="15" customHeight="1" thickBot="1" x14ac:dyDescent="0.4">
      <c r="F6" s="272" t="s">
        <v>201</v>
      </c>
    </row>
    <row r="7" spans="1:6" ht="18.75" customHeight="1" x14ac:dyDescent="0.25">
      <c r="A7" s="1834" t="s">
        <v>242</v>
      </c>
      <c r="B7" s="1836" t="s">
        <v>553</v>
      </c>
      <c r="C7" s="1836" t="s">
        <v>822</v>
      </c>
      <c r="D7" s="1838" t="s">
        <v>823</v>
      </c>
      <c r="E7" s="1839"/>
      <c r="F7" s="1840"/>
    </row>
    <row r="8" spans="1:6" ht="50.4" x14ac:dyDescent="0.25">
      <c r="A8" s="1835"/>
      <c r="B8" s="1837"/>
      <c r="C8" s="1837"/>
      <c r="D8" s="917" t="s">
        <v>117</v>
      </c>
      <c r="E8" s="917" t="s">
        <v>118</v>
      </c>
      <c r="F8" s="939" t="s">
        <v>243</v>
      </c>
    </row>
    <row r="9" spans="1:6" s="48" customFormat="1" ht="15" customHeight="1" x14ac:dyDescent="0.3">
      <c r="A9" s="102" t="s">
        <v>253</v>
      </c>
      <c r="B9" s="103" t="s">
        <v>252</v>
      </c>
      <c r="C9" s="103"/>
      <c r="D9" s="112"/>
      <c r="E9" s="112"/>
      <c r="F9" s="113">
        <f t="shared" ref="F9:F38" si="0">D9+E9</f>
        <v>0</v>
      </c>
    </row>
    <row r="10" spans="1:6" s="48" customFormat="1" ht="15" customHeight="1" x14ac:dyDescent="0.3">
      <c r="A10" s="102" t="s">
        <v>255</v>
      </c>
      <c r="B10" s="103" t="s">
        <v>254</v>
      </c>
      <c r="C10" s="112"/>
      <c r="D10" s="112"/>
      <c r="E10" s="112"/>
      <c r="F10" s="113">
        <f t="shared" si="0"/>
        <v>0</v>
      </c>
    </row>
    <row r="11" spans="1:6" s="48" customFormat="1" ht="15" customHeight="1" x14ac:dyDescent="0.3">
      <c r="A11" s="108" t="s">
        <v>257</v>
      </c>
      <c r="B11" s="93" t="s">
        <v>256</v>
      </c>
      <c r="C11" s="136"/>
      <c r="D11" s="112"/>
      <c r="E11" s="136"/>
      <c r="F11" s="137">
        <f t="shared" si="0"/>
        <v>0</v>
      </c>
    </row>
    <row r="12" spans="1:6" ht="15" customHeight="1" x14ac:dyDescent="0.3">
      <c r="A12" s="108" t="s">
        <v>261</v>
      </c>
      <c r="B12" s="93" t="s">
        <v>260</v>
      </c>
      <c r="C12" s="136"/>
      <c r="D12" s="112"/>
      <c r="E12" s="136"/>
      <c r="F12" s="137">
        <f t="shared" si="0"/>
        <v>0</v>
      </c>
    </row>
    <row r="13" spans="1:6" ht="15" customHeight="1" x14ac:dyDescent="0.3">
      <c r="A13" s="614" t="s">
        <v>113</v>
      </c>
      <c r="B13" s="615" t="s">
        <v>123</v>
      </c>
      <c r="C13" s="136"/>
      <c r="D13" s="112"/>
      <c r="E13" s="136"/>
      <c r="F13" s="113">
        <f t="shared" si="0"/>
        <v>0</v>
      </c>
    </row>
    <row r="14" spans="1:6" s="48" customFormat="1" ht="15" customHeight="1" x14ac:dyDescent="0.3">
      <c r="A14" s="102" t="s">
        <v>82</v>
      </c>
      <c r="B14" s="103" t="s">
        <v>122</v>
      </c>
      <c r="C14" s="112"/>
      <c r="D14" s="112"/>
      <c r="E14" s="112"/>
      <c r="F14" s="113">
        <f t="shared" si="0"/>
        <v>0</v>
      </c>
    </row>
    <row r="15" spans="1:6" s="48" customFormat="1" ht="15" customHeight="1" x14ac:dyDescent="0.3">
      <c r="A15" s="102" t="s">
        <v>263</v>
      </c>
      <c r="B15" s="103" t="s">
        <v>119</v>
      </c>
      <c r="C15" s="112"/>
      <c r="D15" s="112"/>
      <c r="E15" s="112"/>
      <c r="F15" s="113">
        <f t="shared" si="0"/>
        <v>0</v>
      </c>
    </row>
    <row r="16" spans="1:6" s="48" customFormat="1" ht="15" customHeight="1" x14ac:dyDescent="0.3">
      <c r="A16" s="108" t="s">
        <v>265</v>
      </c>
      <c r="B16" s="93" t="s">
        <v>264</v>
      </c>
      <c r="C16" s="136"/>
      <c r="D16" s="112"/>
      <c r="E16" s="136"/>
      <c r="F16" s="137">
        <f t="shared" si="0"/>
        <v>0</v>
      </c>
    </row>
    <row r="17" spans="1:8" s="48" customFormat="1" ht="15" customHeight="1" x14ac:dyDescent="0.3">
      <c r="A17" s="102" t="s">
        <v>90</v>
      </c>
      <c r="B17" s="95" t="s">
        <v>266</v>
      </c>
      <c r="C17" s="112"/>
      <c r="D17" s="112"/>
      <c r="E17" s="112"/>
      <c r="F17" s="113">
        <v>0</v>
      </c>
    </row>
    <row r="18" spans="1:8" s="48" customFormat="1" ht="15" customHeight="1" x14ac:dyDescent="0.3">
      <c r="A18" s="102" t="s">
        <v>89</v>
      </c>
      <c r="B18" s="103" t="s">
        <v>92</v>
      </c>
      <c r="C18" s="112">
        <f>'3. Gesz költségvetés'!E20</f>
        <v>400</v>
      </c>
      <c r="D18" s="112"/>
      <c r="E18" s="112">
        <f>'3. Gesz költségvetés'!F20</f>
        <v>400</v>
      </c>
      <c r="F18" s="113">
        <f>D18+E18</f>
        <v>400</v>
      </c>
    </row>
    <row r="19" spans="1:8" s="48" customFormat="1" ht="15" customHeight="1" x14ac:dyDescent="0.3">
      <c r="A19" s="102" t="s">
        <v>88</v>
      </c>
      <c r="B19" s="103" t="s">
        <v>84</v>
      </c>
      <c r="C19" s="112"/>
      <c r="D19" s="112"/>
      <c r="E19" s="112"/>
      <c r="F19" s="113">
        <f t="shared" si="0"/>
        <v>0</v>
      </c>
    </row>
    <row r="20" spans="1:8" s="48" customFormat="1" ht="15" customHeight="1" x14ac:dyDescent="0.3">
      <c r="A20" s="102" t="s">
        <v>272</v>
      </c>
      <c r="B20" s="103" t="s">
        <v>271</v>
      </c>
      <c r="C20" s="112"/>
      <c r="D20" s="112"/>
      <c r="E20" s="112"/>
      <c r="F20" s="113">
        <f t="shared" si="0"/>
        <v>0</v>
      </c>
    </row>
    <row r="21" spans="1:8" s="48" customFormat="1" ht="15" customHeight="1" x14ac:dyDescent="0.3">
      <c r="A21" s="102" t="s">
        <v>274</v>
      </c>
      <c r="B21" s="103" t="s">
        <v>273</v>
      </c>
      <c r="C21" s="112"/>
      <c r="D21" s="112"/>
      <c r="E21" s="112"/>
      <c r="F21" s="113">
        <f t="shared" si="0"/>
        <v>0</v>
      </c>
    </row>
    <row r="22" spans="1:8" s="48" customFormat="1" ht="15" customHeight="1" x14ac:dyDescent="0.3">
      <c r="A22" s="102" t="s">
        <v>277</v>
      </c>
      <c r="B22" s="103" t="s">
        <v>276</v>
      </c>
      <c r="C22" s="112"/>
      <c r="D22" s="112"/>
      <c r="E22" s="112"/>
      <c r="F22" s="113">
        <f t="shared" si="0"/>
        <v>0</v>
      </c>
    </row>
    <row r="23" spans="1:8" s="48" customFormat="1" ht="15" customHeight="1" x14ac:dyDescent="0.3">
      <c r="A23" s="108" t="s">
        <v>279</v>
      </c>
      <c r="B23" s="94" t="s">
        <v>278</v>
      </c>
      <c r="C23" s="136">
        <f>SUM(C17:C22)</f>
        <v>400</v>
      </c>
      <c r="D23" s="112">
        <f>SUM(D17:D22)</f>
        <v>0</v>
      </c>
      <c r="E23" s="112">
        <f>SUM(E17:E22)</f>
        <v>400</v>
      </c>
      <c r="F23" s="137">
        <f t="shared" si="0"/>
        <v>400</v>
      </c>
    </row>
    <row r="24" spans="1:8" s="48" customFormat="1" ht="16.8" x14ac:dyDescent="0.3">
      <c r="A24" s="108" t="s">
        <v>285</v>
      </c>
      <c r="B24" s="93" t="s">
        <v>284</v>
      </c>
      <c r="C24" s="136"/>
      <c r="D24" s="112"/>
      <c r="E24" s="136"/>
      <c r="F24" s="137">
        <f t="shared" si="0"/>
        <v>0</v>
      </c>
    </row>
    <row r="25" spans="1:8" s="48" customFormat="1" ht="15" customHeight="1" x14ac:dyDescent="0.3">
      <c r="A25" s="108" t="s">
        <v>289</v>
      </c>
      <c r="B25" s="93" t="s">
        <v>288</v>
      </c>
      <c r="C25" s="136"/>
      <c r="D25" s="112"/>
      <c r="E25" s="136"/>
      <c r="F25" s="137">
        <f t="shared" si="0"/>
        <v>0</v>
      </c>
    </row>
    <row r="26" spans="1:8" s="48" customFormat="1" ht="15" customHeight="1" x14ac:dyDescent="0.3">
      <c r="A26" s="102" t="s">
        <v>291</v>
      </c>
      <c r="B26" s="103" t="s">
        <v>290</v>
      </c>
      <c r="C26" s="136"/>
      <c r="D26" s="112"/>
      <c r="E26" s="112"/>
      <c r="F26" s="113">
        <f t="shared" si="0"/>
        <v>0</v>
      </c>
    </row>
    <row r="27" spans="1:8" s="48" customFormat="1" ht="15" customHeight="1" x14ac:dyDescent="0.3">
      <c r="A27" s="102" t="s">
        <v>293</v>
      </c>
      <c r="B27" s="95" t="s">
        <v>292</v>
      </c>
      <c r="C27" s="136"/>
      <c r="D27" s="112"/>
      <c r="E27" s="112"/>
      <c r="F27" s="113">
        <f t="shared" si="0"/>
        <v>0</v>
      </c>
    </row>
    <row r="28" spans="1:8" s="48" customFormat="1" ht="15" customHeight="1" x14ac:dyDescent="0.3">
      <c r="A28" s="108" t="s">
        <v>295</v>
      </c>
      <c r="B28" s="93" t="s">
        <v>294</v>
      </c>
      <c r="C28" s="136"/>
      <c r="D28" s="112"/>
      <c r="E28" s="112"/>
      <c r="F28" s="113">
        <f t="shared" si="0"/>
        <v>0</v>
      </c>
    </row>
    <row r="29" spans="1:8" s="48" customFormat="1" ht="15" customHeight="1" x14ac:dyDescent="0.3">
      <c r="A29" s="114"/>
      <c r="B29" s="115" t="s">
        <v>71</v>
      </c>
      <c r="C29" s="116">
        <f>C11+C12+C16+C23+C25</f>
        <v>400</v>
      </c>
      <c r="D29" s="116">
        <f t="shared" ref="D29:F29" si="1">D11+D12+D16+D23+D25</f>
        <v>0</v>
      </c>
      <c r="E29" s="116">
        <f t="shared" si="1"/>
        <v>400</v>
      </c>
      <c r="F29" s="116">
        <f t="shared" si="1"/>
        <v>400</v>
      </c>
    </row>
    <row r="30" spans="1:8" ht="15" customHeight="1" x14ac:dyDescent="0.3">
      <c r="A30" s="114"/>
      <c r="B30" s="115" t="s">
        <v>72</v>
      </c>
      <c r="C30" s="116">
        <f>C24+C28</f>
        <v>0</v>
      </c>
      <c r="D30" s="116">
        <f>D24+D28</f>
        <v>0</v>
      </c>
      <c r="E30" s="116">
        <f>E24+E28</f>
        <v>0</v>
      </c>
      <c r="F30" s="117">
        <f t="shared" si="0"/>
        <v>0</v>
      </c>
    </row>
    <row r="31" spans="1:8" ht="15" customHeight="1" x14ac:dyDescent="0.3">
      <c r="A31" s="105" t="s">
        <v>297</v>
      </c>
      <c r="B31" s="100" t="s">
        <v>296</v>
      </c>
      <c r="C31" s="109">
        <f>SUM(C29:C30)</f>
        <v>400</v>
      </c>
      <c r="D31" s="109">
        <f t="shared" ref="D31:F31" si="2">SUM(D29:D30)</f>
        <v>0</v>
      </c>
      <c r="E31" s="109">
        <f t="shared" si="2"/>
        <v>400</v>
      </c>
      <c r="F31" s="109">
        <f t="shared" si="2"/>
        <v>400</v>
      </c>
      <c r="H31" s="48"/>
    </row>
    <row r="32" spans="1:8" ht="15" customHeight="1" x14ac:dyDescent="0.3">
      <c r="A32" s="118"/>
      <c r="B32" s="119" t="s">
        <v>298</v>
      </c>
      <c r="C32" s="120">
        <f t="shared" ref="C32:E33" si="3">C29-C59</f>
        <v>-240157</v>
      </c>
      <c r="D32" s="120">
        <f t="shared" si="3"/>
        <v>-462958</v>
      </c>
      <c r="E32" s="120">
        <f t="shared" si="3"/>
        <v>0</v>
      </c>
      <c r="F32" s="121">
        <f t="shared" si="0"/>
        <v>-462958</v>
      </c>
    </row>
    <row r="33" spans="1:7" ht="15" customHeight="1" x14ac:dyDescent="0.3">
      <c r="A33" s="118"/>
      <c r="B33" s="119" t="s">
        <v>299</v>
      </c>
      <c r="C33" s="120">
        <f t="shared" si="3"/>
        <v>-735</v>
      </c>
      <c r="D33" s="120">
        <f t="shared" si="3"/>
        <v>-1497</v>
      </c>
      <c r="E33" s="120">
        <f t="shared" si="3"/>
        <v>0</v>
      </c>
      <c r="F33" s="121">
        <f t="shared" si="0"/>
        <v>-1497</v>
      </c>
    </row>
    <row r="34" spans="1:7" ht="15" customHeight="1" x14ac:dyDescent="0.3">
      <c r="A34" s="107" t="s">
        <v>303</v>
      </c>
      <c r="B34" s="95" t="s">
        <v>302</v>
      </c>
      <c r="C34" s="112"/>
      <c r="D34" s="112">
        <v>0</v>
      </c>
      <c r="E34" s="112">
        <f t="shared" ref="E34:E37" si="4">C34+D34</f>
        <v>0</v>
      </c>
      <c r="F34" s="113">
        <f t="shared" si="0"/>
        <v>0</v>
      </c>
    </row>
    <row r="35" spans="1:7" ht="15" customHeight="1" x14ac:dyDescent="0.3">
      <c r="A35" s="107" t="s">
        <v>305</v>
      </c>
      <c r="B35" s="103" t="s">
        <v>304</v>
      </c>
      <c r="C35" s="112"/>
      <c r="D35" s="112"/>
      <c r="E35" s="112">
        <f t="shared" si="4"/>
        <v>0</v>
      </c>
      <c r="F35" s="113">
        <f t="shared" si="0"/>
        <v>0</v>
      </c>
    </row>
    <row r="36" spans="1:7" ht="42.6" customHeight="1" x14ac:dyDescent="0.3">
      <c r="A36" s="107" t="s">
        <v>305</v>
      </c>
      <c r="B36" s="1634" t="s">
        <v>306</v>
      </c>
      <c r="C36" s="112"/>
      <c r="D36" s="112">
        <v>0</v>
      </c>
      <c r="E36" s="112">
        <f t="shared" si="4"/>
        <v>0</v>
      </c>
      <c r="F36" s="113">
        <f t="shared" si="0"/>
        <v>0</v>
      </c>
    </row>
    <row r="37" spans="1:7" s="48" customFormat="1" ht="15" customHeight="1" x14ac:dyDescent="0.3">
      <c r="A37" s="107" t="s">
        <v>308</v>
      </c>
      <c r="B37" s="103" t="s">
        <v>307</v>
      </c>
      <c r="C37" s="112"/>
      <c r="D37" s="112"/>
      <c r="E37" s="112">
        <f t="shared" si="4"/>
        <v>0</v>
      </c>
      <c r="F37" s="113">
        <f t="shared" si="0"/>
        <v>0</v>
      </c>
    </row>
    <row r="38" spans="1:7" ht="15" customHeight="1" x14ac:dyDescent="0.3">
      <c r="A38" s="122" t="s">
        <v>310</v>
      </c>
      <c r="B38" s="103" t="s">
        <v>309</v>
      </c>
      <c r="C38" s="112">
        <f>'3. Gesz költségvetés'!E33</f>
        <v>240892</v>
      </c>
      <c r="D38" s="112">
        <f>'3. Gesz költségvetés'!F33</f>
        <v>464455</v>
      </c>
      <c r="E38" s="112">
        <v>0</v>
      </c>
      <c r="F38" s="113">
        <f t="shared" si="0"/>
        <v>464455</v>
      </c>
    </row>
    <row r="39" spans="1:7" ht="15" customHeight="1" x14ac:dyDescent="0.3">
      <c r="A39" s="130" t="s">
        <v>318</v>
      </c>
      <c r="B39" s="129" t="s">
        <v>317</v>
      </c>
      <c r="C39" s="109">
        <f>SUM(C34:C38)</f>
        <v>240892</v>
      </c>
      <c r="D39" s="109">
        <f>SUM(D34:D38)</f>
        <v>464455</v>
      </c>
      <c r="E39" s="109">
        <f>SUM(E34:E38)</f>
        <v>0</v>
      </c>
      <c r="F39" s="109">
        <f t="shared" ref="F39" si="5">SUM(F34:F38)</f>
        <v>464455</v>
      </c>
    </row>
    <row r="40" spans="1:7" ht="17.399999999999999" thickBot="1" x14ac:dyDescent="0.35">
      <c r="A40" s="140"/>
      <c r="B40" s="141" t="s">
        <v>234</v>
      </c>
      <c r="C40" s="1327">
        <f>C31+C38</f>
        <v>241292</v>
      </c>
      <c r="D40" s="1327">
        <f>D31+D38</f>
        <v>464455</v>
      </c>
      <c r="E40" s="1327">
        <f>E31+E38</f>
        <v>400</v>
      </c>
      <c r="F40" s="1327">
        <f t="shared" ref="F40" si="6">F31+F38</f>
        <v>464855</v>
      </c>
      <c r="G40" s="449"/>
    </row>
    <row r="41" spans="1:7" ht="15" customHeight="1" thickBot="1" x14ac:dyDescent="0.35">
      <c r="A41" s="681"/>
      <c r="B41" s="681"/>
      <c r="C41" s="1330"/>
      <c r="D41" s="1330"/>
      <c r="E41" s="1330"/>
      <c r="F41" s="1330"/>
    </row>
    <row r="42" spans="1:7" ht="18.75" customHeight="1" x14ac:dyDescent="0.25">
      <c r="A42" s="1834" t="s">
        <v>242</v>
      </c>
      <c r="B42" s="1836" t="s">
        <v>554</v>
      </c>
      <c r="C42" s="1331" t="s">
        <v>730</v>
      </c>
      <c r="D42" s="1845" t="s">
        <v>823</v>
      </c>
      <c r="E42" s="1846"/>
      <c r="F42" s="1847"/>
    </row>
    <row r="43" spans="1:7" ht="50.4" x14ac:dyDescent="0.25">
      <c r="A43" s="1835"/>
      <c r="B43" s="1837"/>
      <c r="C43" s="1328" t="s">
        <v>117</v>
      </c>
      <c r="D43" s="917" t="s">
        <v>117</v>
      </c>
      <c r="E43" s="917" t="s">
        <v>118</v>
      </c>
      <c r="F43" s="939" t="s">
        <v>243</v>
      </c>
    </row>
    <row r="44" spans="1:7" ht="15" customHeight="1" x14ac:dyDescent="0.3">
      <c r="A44" s="91" t="s">
        <v>166</v>
      </c>
      <c r="B44" s="92" t="s">
        <v>167</v>
      </c>
      <c r="C44" s="1329">
        <f>'3. Gesz költségvetés'!E39</f>
        <v>183282</v>
      </c>
      <c r="D44" s="112">
        <f>'3. Gesz költségvetés'!F39</f>
        <v>364703</v>
      </c>
      <c r="E44" s="112"/>
      <c r="F44" s="113">
        <f>D44+E44</f>
        <v>364703</v>
      </c>
    </row>
    <row r="45" spans="1:7" ht="15" customHeight="1" x14ac:dyDescent="0.3">
      <c r="A45" s="91" t="s">
        <v>168</v>
      </c>
      <c r="B45" s="103" t="s">
        <v>169</v>
      </c>
      <c r="C45" s="112">
        <f>'3. Gesz költségvetés'!E40</f>
        <v>33480</v>
      </c>
      <c r="D45" s="112">
        <f>'3. Gesz költségvetés'!F40</f>
        <v>58067</v>
      </c>
      <c r="E45" s="112"/>
      <c r="F45" s="113">
        <f t="shared" ref="F45:F58" si="7">D45+E45</f>
        <v>58067</v>
      </c>
    </row>
    <row r="46" spans="1:7" ht="15" customHeight="1" x14ac:dyDescent="0.3">
      <c r="A46" s="91" t="s">
        <v>170</v>
      </c>
      <c r="B46" s="103" t="s">
        <v>171</v>
      </c>
      <c r="C46" s="112">
        <f>'3. Gesz költségvetés'!E41</f>
        <v>23795</v>
      </c>
      <c r="D46" s="112">
        <f>'3. Gesz költségvetés'!F41-E46</f>
        <v>40188</v>
      </c>
      <c r="E46" s="112">
        <v>400</v>
      </c>
      <c r="F46" s="113">
        <f t="shared" si="7"/>
        <v>40588</v>
      </c>
    </row>
    <row r="47" spans="1:7" ht="15" customHeight="1" x14ac:dyDescent="0.3">
      <c r="A47" s="91" t="s">
        <v>172</v>
      </c>
      <c r="B47" s="95" t="s">
        <v>23</v>
      </c>
      <c r="C47" s="112"/>
      <c r="D47" s="112"/>
      <c r="E47" s="112"/>
      <c r="F47" s="113">
        <f t="shared" si="7"/>
        <v>0</v>
      </c>
    </row>
    <row r="48" spans="1:7" ht="15" customHeight="1" x14ac:dyDescent="0.3">
      <c r="A48" s="91" t="s">
        <v>173</v>
      </c>
      <c r="B48" s="96" t="s">
        <v>174</v>
      </c>
      <c r="C48" s="112"/>
      <c r="D48" s="112"/>
      <c r="E48" s="112"/>
      <c r="F48" s="113">
        <f t="shared" si="7"/>
        <v>0</v>
      </c>
    </row>
    <row r="49" spans="1:6" ht="15" customHeight="1" x14ac:dyDescent="0.3">
      <c r="A49" s="91" t="s">
        <v>176</v>
      </c>
      <c r="B49" s="96" t="s">
        <v>175</v>
      </c>
      <c r="C49" s="112"/>
      <c r="D49" s="112"/>
      <c r="E49" s="112"/>
      <c r="F49" s="113">
        <f t="shared" si="7"/>
        <v>0</v>
      </c>
    </row>
    <row r="50" spans="1:6" ht="15" customHeight="1" x14ac:dyDescent="0.3">
      <c r="A50" s="91" t="s">
        <v>544</v>
      </c>
      <c r="B50" s="97" t="s">
        <v>177</v>
      </c>
      <c r="C50" s="112"/>
      <c r="D50" s="112"/>
      <c r="E50" s="112"/>
      <c r="F50" s="113">
        <f t="shared" si="7"/>
        <v>0</v>
      </c>
    </row>
    <row r="51" spans="1:6" ht="15" customHeight="1" x14ac:dyDescent="0.3">
      <c r="A51" s="91" t="s">
        <v>544</v>
      </c>
      <c r="B51" s="97" t="s">
        <v>121</v>
      </c>
      <c r="C51" s="112"/>
      <c r="D51" s="112"/>
      <c r="E51" s="112"/>
      <c r="F51" s="113">
        <f t="shared" si="7"/>
        <v>0</v>
      </c>
    </row>
    <row r="52" spans="1:6" ht="15" customHeight="1" x14ac:dyDescent="0.3">
      <c r="A52" s="91" t="s">
        <v>544</v>
      </c>
      <c r="B52" s="97" t="s">
        <v>178</v>
      </c>
      <c r="C52" s="112"/>
      <c r="D52" s="112"/>
      <c r="E52" s="112"/>
      <c r="F52" s="113">
        <f t="shared" si="7"/>
        <v>0</v>
      </c>
    </row>
    <row r="53" spans="1:6" ht="15" customHeight="1" x14ac:dyDescent="0.3">
      <c r="A53" s="91" t="s">
        <v>179</v>
      </c>
      <c r="B53" s="95" t="s">
        <v>180</v>
      </c>
      <c r="C53" s="112"/>
      <c r="D53" s="112"/>
      <c r="E53" s="112"/>
      <c r="F53" s="113">
        <f t="shared" si="7"/>
        <v>0</v>
      </c>
    </row>
    <row r="54" spans="1:6" ht="15" customHeight="1" x14ac:dyDescent="0.3">
      <c r="A54" s="91" t="s">
        <v>181</v>
      </c>
      <c r="B54" s="123" t="s">
        <v>321</v>
      </c>
      <c r="C54" s="112">
        <f>'3. Gesz költségvetés'!E49</f>
        <v>735</v>
      </c>
      <c r="D54" s="112">
        <f>'3. Gesz költségvetés'!F49</f>
        <v>1497</v>
      </c>
      <c r="E54" s="112"/>
      <c r="F54" s="113">
        <f t="shared" si="7"/>
        <v>1497</v>
      </c>
    </row>
    <row r="55" spans="1:6" ht="15" customHeight="1" x14ac:dyDescent="0.3">
      <c r="A55" s="91" t="s">
        <v>182</v>
      </c>
      <c r="B55" s="95" t="s">
        <v>183</v>
      </c>
      <c r="C55" s="112"/>
      <c r="D55" s="112"/>
      <c r="E55" s="112"/>
      <c r="F55" s="113">
        <f t="shared" si="7"/>
        <v>0</v>
      </c>
    </row>
    <row r="56" spans="1:6" ht="15" customHeight="1" x14ac:dyDescent="0.3">
      <c r="A56" s="91" t="s">
        <v>141</v>
      </c>
      <c r="B56" s="95" t="s">
        <v>120</v>
      </c>
      <c r="C56" s="112"/>
      <c r="D56" s="112"/>
      <c r="E56" s="112"/>
      <c r="F56" s="113">
        <f t="shared" si="7"/>
        <v>0</v>
      </c>
    </row>
    <row r="57" spans="1:6" ht="15" customHeight="1" x14ac:dyDescent="0.3">
      <c r="A57" s="91" t="s">
        <v>184</v>
      </c>
      <c r="B57" s="95" t="s">
        <v>185</v>
      </c>
      <c r="C57" s="112"/>
      <c r="D57" s="112"/>
      <c r="E57" s="112"/>
      <c r="F57" s="113">
        <f t="shared" si="7"/>
        <v>0</v>
      </c>
    </row>
    <row r="58" spans="1:6" ht="15" customHeight="1" x14ac:dyDescent="0.3">
      <c r="A58" s="91" t="s">
        <v>186</v>
      </c>
      <c r="B58" s="95" t="s">
        <v>187</v>
      </c>
      <c r="C58" s="112"/>
      <c r="D58" s="112"/>
      <c r="E58" s="112"/>
      <c r="F58" s="113">
        <f t="shared" si="7"/>
        <v>0</v>
      </c>
    </row>
    <row r="59" spans="1:6" ht="15" customHeight="1" x14ac:dyDescent="0.3">
      <c r="A59" s="131"/>
      <c r="B59" s="128" t="s">
        <v>202</v>
      </c>
      <c r="C59" s="138">
        <f>SUM(C44:C53)</f>
        <v>240557</v>
      </c>
      <c r="D59" s="138">
        <f>SUM(D44:D53)</f>
        <v>462958</v>
      </c>
      <c r="E59" s="138">
        <f>SUM(E44:E53)</f>
        <v>400</v>
      </c>
      <c r="F59" s="139">
        <f>SUM(F44:F53)</f>
        <v>463358</v>
      </c>
    </row>
    <row r="60" spans="1:6" ht="15" customHeight="1" x14ac:dyDescent="0.3">
      <c r="A60" s="131"/>
      <c r="B60" s="128" t="s">
        <v>203</v>
      </c>
      <c r="C60" s="138">
        <f>SUM(C54:C58)</f>
        <v>735</v>
      </c>
      <c r="D60" s="138">
        <f>SUM(D54:D58)</f>
        <v>1497</v>
      </c>
      <c r="E60" s="138">
        <f>SUM(E54:E58)</f>
        <v>0</v>
      </c>
      <c r="F60" s="139">
        <f>SUM(F54:F58)</f>
        <v>1497</v>
      </c>
    </row>
    <row r="61" spans="1:6" ht="15" customHeight="1" x14ac:dyDescent="0.3">
      <c r="A61" s="105" t="s">
        <v>188</v>
      </c>
      <c r="B61" s="100" t="s">
        <v>189</v>
      </c>
      <c r="C61" s="109">
        <f>SUM(C59:C60)</f>
        <v>241292</v>
      </c>
      <c r="D61" s="109">
        <f>SUM(D59:D60)</f>
        <v>464455</v>
      </c>
      <c r="E61" s="109">
        <f>SUM(E59:E60)</f>
        <v>400</v>
      </c>
      <c r="F61" s="110">
        <f>SUM(F59:F60)</f>
        <v>464855</v>
      </c>
    </row>
    <row r="62" spans="1:6" ht="15" customHeight="1" x14ac:dyDescent="0.25">
      <c r="A62" s="107" t="s">
        <v>190</v>
      </c>
      <c r="B62" s="95" t="s">
        <v>142</v>
      </c>
      <c r="C62" s="101"/>
      <c r="D62" s="101"/>
      <c r="E62" s="101"/>
      <c r="F62" s="125"/>
    </row>
    <row r="63" spans="1:6" ht="15" customHeight="1" x14ac:dyDescent="0.25">
      <c r="A63" s="107" t="s">
        <v>204</v>
      </c>
      <c r="B63" s="95" t="s">
        <v>205</v>
      </c>
      <c r="C63" s="126"/>
      <c r="D63" s="126"/>
      <c r="E63" s="126"/>
      <c r="F63" s="127"/>
    </row>
    <row r="64" spans="1:6" ht="15" customHeight="1" x14ac:dyDescent="0.3">
      <c r="A64" s="130" t="s">
        <v>200</v>
      </c>
      <c r="B64" s="129" t="s">
        <v>26</v>
      </c>
      <c r="C64" s="109">
        <f>SUM(C62:C63)</f>
        <v>0</v>
      </c>
      <c r="D64" s="109">
        <f>SUM(D62:D63)</f>
        <v>0</v>
      </c>
      <c r="E64" s="109">
        <f>SUM(E62:E63)</f>
        <v>0</v>
      </c>
      <c r="F64" s="110">
        <f>SUM(F62:F63)</f>
        <v>0</v>
      </c>
    </row>
    <row r="65" spans="1:6" ht="15" customHeight="1" thickBot="1" x14ac:dyDescent="0.35">
      <c r="A65" s="140"/>
      <c r="B65" s="141" t="s">
        <v>224</v>
      </c>
      <c r="C65" s="144">
        <f>C61+C64</f>
        <v>241292</v>
      </c>
      <c r="D65" s="144">
        <f>D61+D64</f>
        <v>464455</v>
      </c>
      <c r="E65" s="144">
        <f>E61+E64</f>
        <v>400</v>
      </c>
      <c r="F65" s="145">
        <f>F61+F64</f>
        <v>464855</v>
      </c>
    </row>
    <row r="66" spans="1:6" ht="15" hidden="1" customHeight="1" x14ac:dyDescent="0.25"/>
    <row r="67" spans="1:6" ht="15" hidden="1" customHeight="1" x14ac:dyDescent="0.25">
      <c r="F67" s="449">
        <f>F40-F65</f>
        <v>0</v>
      </c>
    </row>
    <row r="68" spans="1:6" ht="15" hidden="1" customHeight="1" x14ac:dyDescent="0.25">
      <c r="F68" s="449"/>
    </row>
    <row r="69" spans="1:6" ht="15" hidden="1" customHeight="1" x14ac:dyDescent="0.25"/>
    <row r="70" spans="1:6" ht="15" hidden="1" customHeight="1" x14ac:dyDescent="0.25"/>
    <row r="71" spans="1:6" ht="15" hidden="1" customHeight="1" x14ac:dyDescent="0.25"/>
    <row r="72" spans="1:6" ht="15" hidden="1" customHeight="1" x14ac:dyDescent="0.25"/>
    <row r="73" spans="1:6" ht="15" hidden="1" customHeight="1" x14ac:dyDescent="0.25"/>
    <row r="74" spans="1:6" ht="15" hidden="1" customHeight="1" x14ac:dyDescent="0.25"/>
    <row r="75" spans="1:6" ht="15" hidden="1" customHeight="1" x14ac:dyDescent="0.25"/>
    <row r="76" spans="1:6" ht="15" hidden="1" customHeight="1" x14ac:dyDescent="0.25"/>
    <row r="77" spans="1:6" ht="15" hidden="1" customHeight="1" x14ac:dyDescent="0.25"/>
    <row r="78" spans="1:6" ht="15" hidden="1" customHeight="1" x14ac:dyDescent="0.25"/>
    <row r="79" spans="1:6" ht="15" hidden="1" customHeight="1" x14ac:dyDescent="0.25"/>
    <row r="80" spans="1:6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</sheetData>
  <mergeCells count="10">
    <mergeCell ref="A42:A43"/>
    <mergeCell ref="B42:B43"/>
    <mergeCell ref="D42:F42"/>
    <mergeCell ref="A1:F1"/>
    <mergeCell ref="A2:F2"/>
    <mergeCell ref="A4:F4"/>
    <mergeCell ref="A7:A8"/>
    <mergeCell ref="B7:B8"/>
    <mergeCell ref="C7:C8"/>
    <mergeCell ref="D7:F7"/>
  </mergeCells>
  <printOptions horizontalCentered="1"/>
  <pageMargins left="0.31496062992125984" right="0.27559055118110237" top="0.27559055118110237" bottom="0.31496062992125984" header="0.51181102362204722" footer="0.15748031496062992"/>
  <pageSetup paperSize="9" scale="7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>
    <tabColor rgb="FF92D050"/>
    <pageSetUpPr fitToPage="1"/>
  </sheetPr>
  <dimension ref="A1:H82"/>
  <sheetViews>
    <sheetView view="pageBreakPreview" topLeftCell="A52" zoomScaleSheetLayoutView="100" workbookViewId="0">
      <selection activeCell="B14" sqref="B14"/>
    </sheetView>
  </sheetViews>
  <sheetFormatPr defaultColWidth="9.109375" defaultRowHeight="15" customHeight="1" x14ac:dyDescent="0.25"/>
  <cols>
    <col min="1" max="1" width="9.88671875" style="86" bestFit="1" customWidth="1"/>
    <col min="2" max="2" width="73.88671875" style="86" customWidth="1"/>
    <col min="3" max="3" width="15.44140625" style="86" customWidth="1"/>
    <col min="4" max="4" width="12.5546875" style="86" customWidth="1"/>
    <col min="5" max="5" width="13" style="86" customWidth="1"/>
    <col min="6" max="6" width="16" style="86" customWidth="1"/>
    <col min="7" max="7" width="15.6640625" style="86" customWidth="1"/>
    <col min="8" max="11" width="0" style="86" hidden="1" customWidth="1"/>
    <col min="12" max="16384" width="9.109375" style="86"/>
  </cols>
  <sheetData>
    <row r="1" spans="1:7" ht="17.399999999999999" x14ac:dyDescent="0.3">
      <c r="A1" s="1841" t="str">
        <f>'8.Német nemzetiségi Ovi'!A1:F1</f>
        <v>Pilisvörösvár Város Önkormányzata Képviselő-testületének 1/2021. (II. 15.) önkormányzati rendelete</v>
      </c>
      <c r="B1" s="1841"/>
      <c r="C1" s="1841"/>
      <c r="D1" s="1841"/>
      <c r="E1" s="1841"/>
      <c r="F1" s="1841"/>
      <c r="G1" s="1841"/>
    </row>
    <row r="2" spans="1:7" ht="17.399999999999999" x14ac:dyDescent="0.3">
      <c r="A2" s="1841" t="str">
        <f>'8.Német nemzetiségi Ovi'!A2:F2</f>
        <v>az Önkormányzat  2021. évi költségvetéséről</v>
      </c>
      <c r="B2" s="1841"/>
      <c r="C2" s="1841"/>
      <c r="D2" s="1841"/>
      <c r="E2" s="1841"/>
      <c r="F2" s="1841"/>
      <c r="G2" s="1841"/>
    </row>
    <row r="4" spans="1:7" ht="17.399999999999999" x14ac:dyDescent="0.3">
      <c r="A4" s="1842" t="str">
        <f>Tartalomjegyzék_2021!B16</f>
        <v>Művészetek Háza költségvetése kötelező, önként vállalt és vállakozási feladat szerinti bontásban</v>
      </c>
      <c r="B4" s="1842"/>
      <c r="C4" s="1842"/>
      <c r="D4" s="1842"/>
      <c r="E4" s="1842"/>
      <c r="F4" s="1842"/>
      <c r="G4" s="1842"/>
    </row>
    <row r="5" spans="1:7" ht="18" x14ac:dyDescent="0.35">
      <c r="G5" s="272" t="s">
        <v>18</v>
      </c>
    </row>
    <row r="6" spans="1:7" ht="15" customHeight="1" thickBot="1" x14ac:dyDescent="0.4">
      <c r="G6" s="272" t="s">
        <v>201</v>
      </c>
    </row>
    <row r="7" spans="1:7" ht="13.5" customHeight="1" x14ac:dyDescent="0.25">
      <c r="A7" s="1834" t="s">
        <v>242</v>
      </c>
      <c r="B7" s="1836" t="s">
        <v>557</v>
      </c>
      <c r="C7" s="1836" t="s">
        <v>822</v>
      </c>
      <c r="D7" s="1851" t="s">
        <v>823</v>
      </c>
      <c r="E7" s="1852"/>
      <c r="F7" s="1852"/>
      <c r="G7" s="1853"/>
    </row>
    <row r="8" spans="1:7" ht="50.4" x14ac:dyDescent="0.25">
      <c r="A8" s="1835"/>
      <c r="B8" s="1837"/>
      <c r="C8" s="1837"/>
      <c r="D8" s="936" t="s">
        <v>117</v>
      </c>
      <c r="E8" s="936" t="s">
        <v>118</v>
      </c>
      <c r="F8" s="936" t="s">
        <v>536</v>
      </c>
      <c r="G8" s="946" t="s">
        <v>243</v>
      </c>
    </row>
    <row r="9" spans="1:7" s="48" customFormat="1" ht="15" customHeight="1" x14ac:dyDescent="0.3">
      <c r="A9" s="102" t="s">
        <v>253</v>
      </c>
      <c r="B9" s="103" t="s">
        <v>252</v>
      </c>
      <c r="C9" s="92"/>
      <c r="D9" s="132"/>
      <c r="E9" s="132"/>
      <c r="F9" s="132"/>
      <c r="G9" s="133">
        <f>D9+E9</f>
        <v>0</v>
      </c>
    </row>
    <row r="10" spans="1:7" s="48" customFormat="1" ht="15" customHeight="1" x14ac:dyDescent="0.3">
      <c r="A10" s="102" t="s">
        <v>255</v>
      </c>
      <c r="B10" s="103" t="s">
        <v>254</v>
      </c>
      <c r="C10" s="132"/>
      <c r="D10" s="132"/>
      <c r="E10" s="132"/>
      <c r="F10" s="132"/>
      <c r="G10" s="133">
        <f t="shared" ref="G10:G28" si="0">D10+E10</f>
        <v>0</v>
      </c>
    </row>
    <row r="11" spans="1:7" s="48" customFormat="1" ht="15" customHeight="1" x14ac:dyDescent="0.3">
      <c r="A11" s="108" t="s">
        <v>257</v>
      </c>
      <c r="B11" s="93" t="s">
        <v>256</v>
      </c>
      <c r="C11" s="134"/>
      <c r="D11" s="134"/>
      <c r="E11" s="134"/>
      <c r="F11" s="134"/>
      <c r="G11" s="133">
        <f t="shared" si="0"/>
        <v>0</v>
      </c>
    </row>
    <row r="12" spans="1:7" ht="15" customHeight="1" x14ac:dyDescent="0.3">
      <c r="A12" s="108" t="s">
        <v>261</v>
      </c>
      <c r="B12" s="93" t="s">
        <v>260</v>
      </c>
      <c r="C12" s="134"/>
      <c r="D12" s="134"/>
      <c r="E12" s="134"/>
      <c r="F12" s="134"/>
      <c r="G12" s="133">
        <f t="shared" si="0"/>
        <v>0</v>
      </c>
    </row>
    <row r="13" spans="1:7" ht="15" customHeight="1" x14ac:dyDescent="0.3">
      <c r="A13" s="450" t="s">
        <v>113</v>
      </c>
      <c r="B13" s="451" t="s">
        <v>123</v>
      </c>
      <c r="C13" s="134"/>
      <c r="D13" s="134"/>
      <c r="E13" s="134"/>
      <c r="F13" s="134"/>
      <c r="G13" s="133">
        <f t="shared" si="0"/>
        <v>0</v>
      </c>
    </row>
    <row r="14" spans="1:7" s="48" customFormat="1" ht="15" customHeight="1" x14ac:dyDescent="0.3">
      <c r="A14" s="102" t="s">
        <v>82</v>
      </c>
      <c r="B14" s="103" t="s">
        <v>122</v>
      </c>
      <c r="C14" s="132"/>
      <c r="D14" s="132"/>
      <c r="E14" s="132"/>
      <c r="F14" s="132"/>
      <c r="G14" s="133">
        <f t="shared" si="0"/>
        <v>0</v>
      </c>
    </row>
    <row r="15" spans="1:7" s="48" customFormat="1" ht="15" customHeight="1" x14ac:dyDescent="0.3">
      <c r="A15" s="102" t="s">
        <v>263</v>
      </c>
      <c r="B15" s="103" t="s">
        <v>119</v>
      </c>
      <c r="C15" s="132"/>
      <c r="D15" s="132"/>
      <c r="E15" s="132"/>
      <c r="F15" s="132"/>
      <c r="G15" s="133">
        <f t="shared" si="0"/>
        <v>0</v>
      </c>
    </row>
    <row r="16" spans="1:7" s="48" customFormat="1" ht="15" customHeight="1" x14ac:dyDescent="0.3">
      <c r="A16" s="108" t="s">
        <v>265</v>
      </c>
      <c r="B16" s="93" t="s">
        <v>264</v>
      </c>
      <c r="C16" s="134"/>
      <c r="D16" s="134"/>
      <c r="E16" s="134"/>
      <c r="F16" s="134"/>
      <c r="G16" s="133">
        <f t="shared" si="0"/>
        <v>0</v>
      </c>
    </row>
    <row r="17" spans="1:8" s="48" customFormat="1" ht="15" customHeight="1" x14ac:dyDescent="0.3">
      <c r="A17" s="668" t="s">
        <v>90</v>
      </c>
      <c r="B17" s="95" t="s">
        <v>266</v>
      </c>
      <c r="C17" s="132">
        <f>'3. Gesz költségvetés'!G13</f>
        <v>6962</v>
      </c>
      <c r="D17" s="132">
        <f>'3. Gesz költségvetés'!H13-F17</f>
        <v>0</v>
      </c>
      <c r="E17" s="132"/>
      <c r="F17" s="132">
        <v>2000</v>
      </c>
      <c r="G17" s="133">
        <f>D17+E17+F17</f>
        <v>2000</v>
      </c>
    </row>
    <row r="18" spans="1:8" s="48" customFormat="1" ht="15" customHeight="1" x14ac:dyDescent="0.3">
      <c r="A18" s="668" t="s">
        <v>89</v>
      </c>
      <c r="B18" s="103" t="s">
        <v>92</v>
      </c>
      <c r="C18" s="132">
        <f>'3. Gesz költségvetés'!G20</f>
        <v>20000</v>
      </c>
      <c r="D18" s="132">
        <f>'3. Gesz költségvetés'!H20-E18</f>
        <v>11753</v>
      </c>
      <c r="E18" s="132">
        <v>3000</v>
      </c>
      <c r="F18" s="132"/>
      <c r="G18" s="133">
        <f t="shared" si="0"/>
        <v>14753</v>
      </c>
    </row>
    <row r="19" spans="1:8" s="48" customFormat="1" ht="15" customHeight="1" x14ac:dyDescent="0.3">
      <c r="A19" s="668" t="s">
        <v>88</v>
      </c>
      <c r="B19" s="103" t="s">
        <v>84</v>
      </c>
      <c r="C19" s="132"/>
      <c r="D19" s="132"/>
      <c r="E19" s="132"/>
      <c r="F19" s="132"/>
      <c r="G19" s="133">
        <f t="shared" si="0"/>
        <v>0</v>
      </c>
    </row>
    <row r="20" spans="1:8" s="48" customFormat="1" ht="15" customHeight="1" x14ac:dyDescent="0.3">
      <c r="A20" s="102" t="s">
        <v>272</v>
      </c>
      <c r="B20" s="103" t="s">
        <v>271</v>
      </c>
      <c r="C20" s="132"/>
      <c r="D20" s="132"/>
      <c r="E20" s="132"/>
      <c r="F20" s="132"/>
      <c r="G20" s="133">
        <f t="shared" si="0"/>
        <v>0</v>
      </c>
    </row>
    <row r="21" spans="1:8" s="48" customFormat="1" ht="15" customHeight="1" x14ac:dyDescent="0.3">
      <c r="A21" s="102" t="s">
        <v>274</v>
      </c>
      <c r="B21" s="103" t="s">
        <v>273</v>
      </c>
      <c r="C21" s="132"/>
      <c r="D21" s="132"/>
      <c r="E21" s="132"/>
      <c r="F21" s="132"/>
      <c r="G21" s="133">
        <f t="shared" si="0"/>
        <v>0</v>
      </c>
    </row>
    <row r="22" spans="1:8" s="48" customFormat="1" ht="15" customHeight="1" x14ac:dyDescent="0.3">
      <c r="A22" s="102" t="s">
        <v>277</v>
      </c>
      <c r="B22" s="103" t="s">
        <v>276</v>
      </c>
      <c r="C22" s="132"/>
      <c r="D22" s="132"/>
      <c r="E22" s="132"/>
      <c r="F22" s="132"/>
      <c r="G22" s="133">
        <f t="shared" si="0"/>
        <v>0</v>
      </c>
    </row>
    <row r="23" spans="1:8" s="48" customFormat="1" ht="15" customHeight="1" x14ac:dyDescent="0.3">
      <c r="A23" s="108" t="s">
        <v>279</v>
      </c>
      <c r="B23" s="94" t="s">
        <v>278</v>
      </c>
      <c r="C23" s="134">
        <f>SUM(C17:C22)</f>
        <v>26962</v>
      </c>
      <c r="D23" s="134">
        <f t="shared" ref="D23:F23" si="1">SUM(D17:D22)</f>
        <v>11753</v>
      </c>
      <c r="E23" s="134">
        <f t="shared" si="1"/>
        <v>3000</v>
      </c>
      <c r="F23" s="134">
        <f t="shared" si="1"/>
        <v>2000</v>
      </c>
      <c r="G23" s="133">
        <f>D23+E23+F23</f>
        <v>16753</v>
      </c>
    </row>
    <row r="24" spans="1:8" s="48" customFormat="1" ht="16.8" x14ac:dyDescent="0.3">
      <c r="A24" s="108" t="s">
        <v>285</v>
      </c>
      <c r="B24" s="93" t="s">
        <v>284</v>
      </c>
      <c r="C24" s="134"/>
      <c r="D24" s="134"/>
      <c r="E24" s="134"/>
      <c r="F24" s="134"/>
      <c r="G24" s="133">
        <f t="shared" si="0"/>
        <v>0</v>
      </c>
    </row>
    <row r="25" spans="1:8" s="48" customFormat="1" ht="15" customHeight="1" x14ac:dyDescent="0.3">
      <c r="A25" s="108" t="s">
        <v>289</v>
      </c>
      <c r="B25" s="93" t="s">
        <v>288</v>
      </c>
      <c r="C25" s="134"/>
      <c r="D25" s="134"/>
      <c r="E25" s="134"/>
      <c r="F25" s="134"/>
      <c r="G25" s="133">
        <f t="shared" si="0"/>
        <v>0</v>
      </c>
    </row>
    <row r="26" spans="1:8" s="48" customFormat="1" ht="15" customHeight="1" x14ac:dyDescent="0.3">
      <c r="A26" s="102" t="s">
        <v>291</v>
      </c>
      <c r="B26" s="103" t="s">
        <v>290</v>
      </c>
      <c r="C26" s="134"/>
      <c r="D26" s="134"/>
      <c r="E26" s="134"/>
      <c r="F26" s="134"/>
      <c r="G26" s="133">
        <f t="shared" si="0"/>
        <v>0</v>
      </c>
    </row>
    <row r="27" spans="1:8" s="48" customFormat="1" ht="15" customHeight="1" x14ac:dyDescent="0.3">
      <c r="A27" s="102" t="s">
        <v>293</v>
      </c>
      <c r="B27" s="95" t="s">
        <v>292</v>
      </c>
      <c r="C27" s="134"/>
      <c r="D27" s="134"/>
      <c r="E27" s="134"/>
      <c r="F27" s="134"/>
      <c r="G27" s="133">
        <f t="shared" si="0"/>
        <v>0</v>
      </c>
    </row>
    <row r="28" spans="1:8" s="48" customFormat="1" ht="15" customHeight="1" x14ac:dyDescent="0.3">
      <c r="A28" s="108" t="s">
        <v>295</v>
      </c>
      <c r="B28" s="93" t="s">
        <v>294</v>
      </c>
      <c r="C28" s="134"/>
      <c r="D28" s="134"/>
      <c r="E28" s="134"/>
      <c r="F28" s="134"/>
      <c r="G28" s="133">
        <f t="shared" si="0"/>
        <v>0</v>
      </c>
    </row>
    <row r="29" spans="1:8" s="48" customFormat="1" ht="15" customHeight="1" x14ac:dyDescent="0.3">
      <c r="A29" s="114"/>
      <c r="B29" s="115" t="s">
        <v>71</v>
      </c>
      <c r="C29" s="142">
        <f>C11+C12+C16+C23+C25</f>
        <v>26962</v>
      </c>
      <c r="D29" s="142">
        <f t="shared" ref="D29:G29" si="2">D11+D12+D16+D23+D25</f>
        <v>11753</v>
      </c>
      <c r="E29" s="142">
        <f t="shared" si="2"/>
        <v>3000</v>
      </c>
      <c r="F29" s="142">
        <f t="shared" si="2"/>
        <v>2000</v>
      </c>
      <c r="G29" s="142">
        <f t="shared" si="2"/>
        <v>16753</v>
      </c>
    </row>
    <row r="30" spans="1:8" ht="15" customHeight="1" x14ac:dyDescent="0.3">
      <c r="A30" s="114"/>
      <c r="B30" s="115" t="s">
        <v>72</v>
      </c>
      <c r="C30" s="142">
        <f>C24+C28</f>
        <v>0</v>
      </c>
      <c r="D30" s="142">
        <f t="shared" ref="D30:G30" si="3">D24+D28</f>
        <v>0</v>
      </c>
      <c r="E30" s="142">
        <f t="shared" si="3"/>
        <v>0</v>
      </c>
      <c r="F30" s="142">
        <f t="shared" si="3"/>
        <v>0</v>
      </c>
      <c r="G30" s="142">
        <f t="shared" si="3"/>
        <v>0</v>
      </c>
    </row>
    <row r="31" spans="1:8" ht="15" customHeight="1" x14ac:dyDescent="0.3">
      <c r="A31" s="105" t="s">
        <v>297</v>
      </c>
      <c r="B31" s="100" t="s">
        <v>296</v>
      </c>
      <c r="C31" s="106">
        <f>SUM(C29:C30)</f>
        <v>26962</v>
      </c>
      <c r="D31" s="106">
        <f t="shared" ref="D31:G31" si="4">SUM(D29:D30)</f>
        <v>11753</v>
      </c>
      <c r="E31" s="106">
        <f t="shared" si="4"/>
        <v>3000</v>
      </c>
      <c r="F31" s="106">
        <f t="shared" si="4"/>
        <v>2000</v>
      </c>
      <c r="G31" s="106">
        <f t="shared" si="4"/>
        <v>16753</v>
      </c>
      <c r="H31" s="106"/>
    </row>
    <row r="32" spans="1:8" ht="15" customHeight="1" x14ac:dyDescent="0.3">
      <c r="A32" s="118"/>
      <c r="B32" s="119" t="s">
        <v>298</v>
      </c>
      <c r="C32" s="143">
        <f t="shared" ref="C32:C33" si="5">C29-C59</f>
        <v>-90794</v>
      </c>
      <c r="D32" s="143">
        <f t="shared" ref="D32:G32" si="6">D29-D59</f>
        <v>-127099</v>
      </c>
      <c r="E32" s="143">
        <f t="shared" si="6"/>
        <v>0</v>
      </c>
      <c r="F32" s="143">
        <f>F29-F59</f>
        <v>0</v>
      </c>
      <c r="G32" s="143">
        <f t="shared" si="6"/>
        <v>-127099</v>
      </c>
    </row>
    <row r="33" spans="1:8" ht="15" customHeight="1" x14ac:dyDescent="0.3">
      <c r="A33" s="118"/>
      <c r="B33" s="119" t="s">
        <v>299</v>
      </c>
      <c r="C33" s="143">
        <f t="shared" si="5"/>
        <v>-762</v>
      </c>
      <c r="D33" s="143">
        <f t="shared" ref="D33:G33" si="7">D30-D60</f>
        <v>-762</v>
      </c>
      <c r="E33" s="143">
        <f t="shared" si="7"/>
        <v>0</v>
      </c>
      <c r="F33" s="143">
        <f t="shared" si="7"/>
        <v>0</v>
      </c>
      <c r="G33" s="143">
        <f t="shared" si="7"/>
        <v>-762</v>
      </c>
    </row>
    <row r="34" spans="1:8" ht="15.75" customHeight="1" x14ac:dyDescent="0.3">
      <c r="A34" s="107" t="s">
        <v>303</v>
      </c>
      <c r="B34" s="95" t="s">
        <v>302</v>
      </c>
      <c r="C34" s="132"/>
      <c r="D34" s="132">
        <v>0</v>
      </c>
      <c r="E34" s="132"/>
      <c r="F34" s="132">
        <v>0</v>
      </c>
      <c r="G34" s="133">
        <f>D34+E34</f>
        <v>0</v>
      </c>
    </row>
    <row r="35" spans="1:8" ht="19.5" customHeight="1" x14ac:dyDescent="0.3">
      <c r="A35" s="107" t="s">
        <v>305</v>
      </c>
      <c r="B35" s="103" t="s">
        <v>304</v>
      </c>
      <c r="C35" s="132"/>
      <c r="D35" s="132"/>
      <c r="E35" s="132"/>
      <c r="F35" s="132"/>
      <c r="G35" s="133">
        <f t="shared" ref="G35:G38" si="8">D35+E35</f>
        <v>0</v>
      </c>
    </row>
    <row r="36" spans="1:8" ht="46.2" customHeight="1" x14ac:dyDescent="0.3">
      <c r="A36" s="107" t="s">
        <v>305</v>
      </c>
      <c r="B36" s="103" t="s">
        <v>306</v>
      </c>
      <c r="C36" s="132"/>
      <c r="D36" s="132">
        <v>0</v>
      </c>
      <c r="E36" s="132"/>
      <c r="F36" s="132"/>
      <c r="G36" s="133">
        <f t="shared" si="8"/>
        <v>0</v>
      </c>
    </row>
    <row r="37" spans="1:8" s="48" customFormat="1" ht="18.75" customHeight="1" x14ac:dyDescent="0.3">
      <c r="A37" s="107" t="s">
        <v>308</v>
      </c>
      <c r="B37" s="103" t="s">
        <v>307</v>
      </c>
      <c r="C37" s="132"/>
      <c r="D37" s="132"/>
      <c r="E37" s="132"/>
      <c r="F37" s="132"/>
      <c r="G37" s="133">
        <f t="shared" si="8"/>
        <v>0</v>
      </c>
    </row>
    <row r="38" spans="1:8" ht="18" customHeight="1" x14ac:dyDescent="0.3">
      <c r="A38" s="107" t="s">
        <v>310</v>
      </c>
      <c r="B38" s="103" t="s">
        <v>309</v>
      </c>
      <c r="C38" s="132">
        <f>'3. Gesz költségvetés'!G33</f>
        <v>91556</v>
      </c>
      <c r="D38" s="132">
        <f>'3. Gesz költségvetés'!H33</f>
        <v>127861</v>
      </c>
      <c r="E38" s="132">
        <v>0</v>
      </c>
      <c r="F38" s="132">
        <v>0</v>
      </c>
      <c r="G38" s="133">
        <f t="shared" si="8"/>
        <v>127861</v>
      </c>
    </row>
    <row r="39" spans="1:8" ht="15" customHeight="1" x14ac:dyDescent="0.3">
      <c r="A39" s="130" t="s">
        <v>318</v>
      </c>
      <c r="B39" s="129" t="s">
        <v>317</v>
      </c>
      <c r="C39" s="106">
        <f>SUM(C34:C38)</f>
        <v>91556</v>
      </c>
      <c r="D39" s="106">
        <f t="shared" ref="D39:G39" si="9">SUM(D34:D38)</f>
        <v>127861</v>
      </c>
      <c r="E39" s="106">
        <f t="shared" si="9"/>
        <v>0</v>
      </c>
      <c r="F39" s="106">
        <f t="shared" si="9"/>
        <v>0</v>
      </c>
      <c r="G39" s="106">
        <f t="shared" si="9"/>
        <v>127861</v>
      </c>
    </row>
    <row r="40" spans="1:8" ht="17.399999999999999" thickBot="1" x14ac:dyDescent="0.35">
      <c r="A40" s="140"/>
      <c r="B40" s="1323" t="s">
        <v>234</v>
      </c>
      <c r="C40" s="682">
        <f>C31+C38</f>
        <v>118518</v>
      </c>
      <c r="D40" s="682">
        <f t="shared" ref="D40:G40" si="10">D31+D38</f>
        <v>139614</v>
      </c>
      <c r="E40" s="682">
        <f t="shared" si="10"/>
        <v>3000</v>
      </c>
      <c r="F40" s="682">
        <f t="shared" si="10"/>
        <v>2000</v>
      </c>
      <c r="G40" s="682">
        <f t="shared" si="10"/>
        <v>144614</v>
      </c>
      <c r="H40" s="449"/>
    </row>
    <row r="41" spans="1:8" ht="15" customHeight="1" thickBot="1" x14ac:dyDescent="0.35">
      <c r="A41" s="681"/>
      <c r="B41" s="681"/>
      <c r="C41" s="683"/>
      <c r="D41" s="683"/>
      <c r="E41" s="683"/>
      <c r="F41" s="683"/>
      <c r="G41" s="683"/>
    </row>
    <row r="42" spans="1:8" ht="18.75" customHeight="1" x14ac:dyDescent="0.25">
      <c r="A42" s="1834" t="s">
        <v>242</v>
      </c>
      <c r="B42" s="1849" t="s">
        <v>554</v>
      </c>
      <c r="C42" s="1836" t="s">
        <v>822</v>
      </c>
      <c r="D42" s="1851" t="s">
        <v>823</v>
      </c>
      <c r="E42" s="1852"/>
      <c r="F42" s="1852"/>
      <c r="G42" s="1852"/>
    </row>
    <row r="43" spans="1:8" ht="50.4" x14ac:dyDescent="0.25">
      <c r="A43" s="1835"/>
      <c r="B43" s="1850"/>
      <c r="C43" s="1837"/>
      <c r="D43" s="936" t="s">
        <v>117</v>
      </c>
      <c r="E43" s="936" t="s">
        <v>118</v>
      </c>
      <c r="F43" s="936" t="s">
        <v>536</v>
      </c>
      <c r="G43" s="946" t="s">
        <v>243</v>
      </c>
    </row>
    <row r="44" spans="1:8" ht="15" customHeight="1" x14ac:dyDescent="0.3">
      <c r="A44" s="91" t="s">
        <v>166</v>
      </c>
      <c r="B44" s="1324" t="s">
        <v>167</v>
      </c>
      <c r="C44" s="132">
        <f>'3. Gesz költségvetés'!G39</f>
        <v>48115</v>
      </c>
      <c r="D44" s="112">
        <f>'3. Gesz költségvetés'!H39-E44-F44</f>
        <v>54158</v>
      </c>
      <c r="E44" s="132"/>
      <c r="F44" s="132">
        <v>350</v>
      </c>
      <c r="G44" s="132">
        <f>D44+E44+F44</f>
        <v>54508</v>
      </c>
    </row>
    <row r="45" spans="1:8" ht="15" customHeight="1" x14ac:dyDescent="0.3">
      <c r="A45" s="91" t="s">
        <v>168</v>
      </c>
      <c r="B45" s="103" t="s">
        <v>169</v>
      </c>
      <c r="C45" s="132">
        <f>'3. Gesz költségvetés'!G40</f>
        <v>9087</v>
      </c>
      <c r="D45" s="112">
        <f>'3. Gesz költségvetés'!H40-E45-F45</f>
        <v>8430</v>
      </c>
      <c r="E45" s="132"/>
      <c r="F45" s="132">
        <v>54</v>
      </c>
      <c r="G45" s="132">
        <f t="shared" ref="G45:G63" si="11">D45+E45+F45</f>
        <v>8484</v>
      </c>
    </row>
    <row r="46" spans="1:8" ht="15" customHeight="1" x14ac:dyDescent="0.3">
      <c r="A46" s="91" t="s">
        <v>170</v>
      </c>
      <c r="B46" s="103" t="s">
        <v>171</v>
      </c>
      <c r="C46" s="132">
        <f>'3. Gesz költségvetés'!G41</f>
        <v>60554</v>
      </c>
      <c r="D46" s="112">
        <f>'3. Gesz költségvetés'!H41-E46-F46</f>
        <v>76264</v>
      </c>
      <c r="E46" s="132">
        <v>3000</v>
      </c>
      <c r="F46" s="132">
        <v>1596</v>
      </c>
      <c r="G46" s="132">
        <f t="shared" si="11"/>
        <v>80860</v>
      </c>
    </row>
    <row r="47" spans="1:8" ht="15" customHeight="1" x14ac:dyDescent="0.3">
      <c r="A47" s="91" t="s">
        <v>172</v>
      </c>
      <c r="B47" s="95" t="s">
        <v>23</v>
      </c>
      <c r="C47" s="132"/>
      <c r="D47" s="132"/>
      <c r="E47" s="132"/>
      <c r="F47" s="132"/>
      <c r="G47" s="132">
        <f t="shared" si="11"/>
        <v>0</v>
      </c>
    </row>
    <row r="48" spans="1:8" ht="15" customHeight="1" x14ac:dyDescent="0.3">
      <c r="A48" s="91" t="s">
        <v>173</v>
      </c>
      <c r="B48" s="96" t="s">
        <v>174</v>
      </c>
      <c r="C48" s="132"/>
      <c r="D48" s="132"/>
      <c r="E48" s="132"/>
      <c r="F48" s="132"/>
      <c r="G48" s="132">
        <f t="shared" si="11"/>
        <v>0</v>
      </c>
    </row>
    <row r="49" spans="1:7" ht="15" customHeight="1" x14ac:dyDescent="0.3">
      <c r="A49" s="91" t="s">
        <v>176</v>
      </c>
      <c r="B49" s="96" t="s">
        <v>175</v>
      </c>
      <c r="C49" s="132"/>
      <c r="D49" s="132"/>
      <c r="E49" s="132"/>
      <c r="F49" s="132"/>
      <c r="G49" s="132">
        <f t="shared" si="11"/>
        <v>0</v>
      </c>
    </row>
    <row r="50" spans="1:7" ht="15" customHeight="1" x14ac:dyDescent="0.3">
      <c r="A50" s="91" t="s">
        <v>544</v>
      </c>
      <c r="B50" s="97" t="s">
        <v>177</v>
      </c>
      <c r="C50" s="132"/>
      <c r="D50" s="132"/>
      <c r="E50" s="132"/>
      <c r="F50" s="132"/>
      <c r="G50" s="132">
        <f t="shared" si="11"/>
        <v>0</v>
      </c>
    </row>
    <row r="51" spans="1:7" ht="15" customHeight="1" x14ac:dyDescent="0.3">
      <c r="A51" s="91" t="s">
        <v>544</v>
      </c>
      <c r="B51" s="97" t="s">
        <v>121</v>
      </c>
      <c r="C51" s="942"/>
      <c r="D51" s="132"/>
      <c r="E51" s="132"/>
      <c r="F51" s="132"/>
      <c r="G51" s="132">
        <f t="shared" si="11"/>
        <v>0</v>
      </c>
    </row>
    <row r="52" spans="1:7" ht="15" customHeight="1" x14ac:dyDescent="0.3">
      <c r="A52" s="91" t="s">
        <v>544</v>
      </c>
      <c r="B52" s="97" t="s">
        <v>178</v>
      </c>
      <c r="C52" s="942"/>
      <c r="D52" s="132"/>
      <c r="E52" s="132"/>
      <c r="F52" s="132"/>
      <c r="G52" s="132">
        <f t="shared" si="11"/>
        <v>0</v>
      </c>
    </row>
    <row r="53" spans="1:7" ht="15" customHeight="1" x14ac:dyDescent="0.3">
      <c r="A53" s="91" t="s">
        <v>179</v>
      </c>
      <c r="B53" s="95" t="s">
        <v>180</v>
      </c>
      <c r="C53" s="941"/>
      <c r="D53" s="132"/>
      <c r="E53" s="132"/>
      <c r="F53" s="132"/>
      <c r="G53" s="132">
        <f t="shared" si="11"/>
        <v>0</v>
      </c>
    </row>
    <row r="54" spans="1:7" ht="15" customHeight="1" x14ac:dyDescent="0.3">
      <c r="A54" s="91" t="s">
        <v>181</v>
      </c>
      <c r="B54" s="123" t="s">
        <v>321</v>
      </c>
      <c r="C54" s="943">
        <v>762</v>
      </c>
      <c r="D54" s="132">
        <f>'3. Gesz költségvetés'!H49</f>
        <v>762</v>
      </c>
      <c r="E54" s="132"/>
      <c r="F54" s="132"/>
      <c r="G54" s="132">
        <f t="shared" si="11"/>
        <v>762</v>
      </c>
    </row>
    <row r="55" spans="1:7" ht="15" customHeight="1" x14ac:dyDescent="0.3">
      <c r="A55" s="91" t="s">
        <v>182</v>
      </c>
      <c r="B55" s="95" t="s">
        <v>183</v>
      </c>
      <c r="C55" s="941"/>
      <c r="D55" s="132"/>
      <c r="E55" s="132"/>
      <c r="F55" s="132"/>
      <c r="G55" s="132">
        <f t="shared" si="11"/>
        <v>0</v>
      </c>
    </row>
    <row r="56" spans="1:7" ht="15" customHeight="1" x14ac:dyDescent="0.3">
      <c r="A56" s="91" t="s">
        <v>141</v>
      </c>
      <c r="B56" s="95" t="s">
        <v>120</v>
      </c>
      <c r="C56" s="941"/>
      <c r="D56" s="132"/>
      <c r="E56" s="132"/>
      <c r="F56" s="132"/>
      <c r="G56" s="132">
        <f t="shared" si="11"/>
        <v>0</v>
      </c>
    </row>
    <row r="57" spans="1:7" ht="15" customHeight="1" x14ac:dyDescent="0.3">
      <c r="A57" s="91" t="s">
        <v>184</v>
      </c>
      <c r="B57" s="95" t="s">
        <v>185</v>
      </c>
      <c r="C57" s="941"/>
      <c r="D57" s="132"/>
      <c r="E57" s="132"/>
      <c r="F57" s="132"/>
      <c r="G57" s="132">
        <f t="shared" si="11"/>
        <v>0</v>
      </c>
    </row>
    <row r="58" spans="1:7" ht="15" customHeight="1" x14ac:dyDescent="0.3">
      <c r="A58" s="91" t="s">
        <v>186</v>
      </c>
      <c r="B58" s="95" t="s">
        <v>187</v>
      </c>
      <c r="C58" s="941"/>
      <c r="D58" s="132"/>
      <c r="E58" s="132"/>
      <c r="F58" s="132"/>
      <c r="G58" s="132">
        <f t="shared" si="11"/>
        <v>0</v>
      </c>
    </row>
    <row r="59" spans="1:7" ht="15" customHeight="1" x14ac:dyDescent="0.3">
      <c r="A59" s="99"/>
      <c r="B59" s="124" t="s">
        <v>202</v>
      </c>
      <c r="C59" s="116">
        <f>SUM(C44:C53)</f>
        <v>117756</v>
      </c>
      <c r="D59" s="116">
        <f t="shared" ref="D59:G59" si="12">SUM(D44:D53)</f>
        <v>138852</v>
      </c>
      <c r="E59" s="116">
        <f t="shared" si="12"/>
        <v>3000</v>
      </c>
      <c r="F59" s="116">
        <f t="shared" si="12"/>
        <v>2000</v>
      </c>
      <c r="G59" s="116">
        <f t="shared" si="12"/>
        <v>143852</v>
      </c>
    </row>
    <row r="60" spans="1:7" ht="15" customHeight="1" x14ac:dyDescent="0.3">
      <c r="A60" s="99"/>
      <c r="B60" s="124" t="s">
        <v>203</v>
      </c>
      <c r="C60" s="116">
        <f>SUM(C54:C58)</f>
        <v>762</v>
      </c>
      <c r="D60" s="116">
        <f t="shared" ref="D60:G60" si="13">SUM(D54:D58)</f>
        <v>762</v>
      </c>
      <c r="E60" s="116">
        <f t="shared" si="13"/>
        <v>0</v>
      </c>
      <c r="F60" s="116">
        <f t="shared" si="13"/>
        <v>0</v>
      </c>
      <c r="G60" s="116">
        <f t="shared" si="13"/>
        <v>762</v>
      </c>
    </row>
    <row r="61" spans="1:7" ht="15" customHeight="1" x14ac:dyDescent="0.3">
      <c r="A61" s="105" t="s">
        <v>188</v>
      </c>
      <c r="B61" s="100" t="s">
        <v>189</v>
      </c>
      <c r="C61" s="109">
        <f>SUM(C59:C60)</f>
        <v>118518</v>
      </c>
      <c r="D61" s="109">
        <f t="shared" ref="D61:G61" si="14">SUM(D59:D60)</f>
        <v>139614</v>
      </c>
      <c r="E61" s="109">
        <f t="shared" si="14"/>
        <v>3000</v>
      </c>
      <c r="F61" s="109">
        <f t="shared" si="14"/>
        <v>2000</v>
      </c>
      <c r="G61" s="109">
        <f t="shared" si="14"/>
        <v>144614</v>
      </c>
    </row>
    <row r="62" spans="1:7" ht="15" customHeight="1" x14ac:dyDescent="0.3">
      <c r="A62" s="107" t="s">
        <v>190</v>
      </c>
      <c r="B62" s="95" t="s">
        <v>142</v>
      </c>
      <c r="C62" s="941"/>
      <c r="D62" s="104"/>
      <c r="E62" s="104"/>
      <c r="F62" s="104"/>
      <c r="G62" s="132">
        <f t="shared" si="11"/>
        <v>0</v>
      </c>
    </row>
    <row r="63" spans="1:7" ht="15" customHeight="1" x14ac:dyDescent="0.3">
      <c r="A63" s="107" t="s">
        <v>204</v>
      </c>
      <c r="B63" s="95" t="s">
        <v>205</v>
      </c>
      <c r="C63" s="941"/>
      <c r="D63" s="135"/>
      <c r="E63" s="135"/>
      <c r="F63" s="135"/>
      <c r="G63" s="132">
        <f t="shared" si="11"/>
        <v>0</v>
      </c>
    </row>
    <row r="64" spans="1:7" ht="15" customHeight="1" x14ac:dyDescent="0.3">
      <c r="A64" s="130" t="s">
        <v>200</v>
      </c>
      <c r="B64" s="129" t="s">
        <v>26</v>
      </c>
      <c r="C64" s="109">
        <f>SUM(C62:C63)</f>
        <v>0</v>
      </c>
      <c r="D64" s="109">
        <f t="shared" ref="D64:G64" si="15">SUM(D62:D63)</f>
        <v>0</v>
      </c>
      <c r="E64" s="109">
        <f t="shared" si="15"/>
        <v>0</v>
      </c>
      <c r="F64" s="109">
        <f t="shared" si="15"/>
        <v>0</v>
      </c>
      <c r="G64" s="109">
        <f t="shared" si="15"/>
        <v>0</v>
      </c>
    </row>
    <row r="65" spans="1:7" ht="17.399999999999999" thickBot="1" x14ac:dyDescent="0.35">
      <c r="A65" s="140"/>
      <c r="B65" s="141" t="s">
        <v>224</v>
      </c>
      <c r="C65" s="144">
        <f>C61+C64</f>
        <v>118518</v>
      </c>
      <c r="D65" s="144">
        <f t="shared" ref="D65:G65" si="16">D61+D64</f>
        <v>139614</v>
      </c>
      <c r="E65" s="144">
        <f t="shared" si="16"/>
        <v>3000</v>
      </c>
      <c r="F65" s="144">
        <f t="shared" si="16"/>
        <v>2000</v>
      </c>
      <c r="G65" s="144">
        <f t="shared" si="16"/>
        <v>144614</v>
      </c>
    </row>
    <row r="66" spans="1:7" ht="15" hidden="1" customHeight="1" x14ac:dyDescent="0.25"/>
    <row r="67" spans="1:7" ht="15" hidden="1" customHeight="1" x14ac:dyDescent="0.25">
      <c r="G67" s="449">
        <f>G40-G65</f>
        <v>0</v>
      </c>
    </row>
    <row r="68" spans="1:7" ht="15" hidden="1" customHeight="1" x14ac:dyDescent="0.25">
      <c r="G68" s="449"/>
    </row>
    <row r="69" spans="1:7" ht="15" hidden="1" customHeight="1" x14ac:dyDescent="0.25"/>
    <row r="70" spans="1:7" ht="15" hidden="1" customHeight="1" x14ac:dyDescent="0.25"/>
    <row r="71" spans="1:7" ht="15" hidden="1" customHeight="1" x14ac:dyDescent="0.25"/>
    <row r="72" spans="1:7" ht="15" hidden="1" customHeight="1" x14ac:dyDescent="0.25"/>
    <row r="73" spans="1:7" ht="15" hidden="1" customHeight="1" x14ac:dyDescent="0.25"/>
    <row r="74" spans="1:7" ht="15" hidden="1" customHeight="1" x14ac:dyDescent="0.25"/>
    <row r="75" spans="1:7" ht="15" hidden="1" customHeight="1" x14ac:dyDescent="0.25"/>
    <row r="76" spans="1:7" ht="15" hidden="1" customHeight="1" x14ac:dyDescent="0.25"/>
    <row r="77" spans="1:7" ht="15" hidden="1" customHeight="1" x14ac:dyDescent="0.25"/>
    <row r="78" spans="1:7" ht="15" hidden="1" customHeight="1" x14ac:dyDescent="0.25"/>
    <row r="79" spans="1:7" ht="15" hidden="1" customHeight="1" x14ac:dyDescent="0.25"/>
    <row r="80" spans="1:7" ht="15" hidden="1" customHeight="1" x14ac:dyDescent="0.25"/>
    <row r="81" ht="15" hidden="1" customHeight="1" x14ac:dyDescent="0.25"/>
    <row r="82" ht="15" hidden="1" customHeight="1" x14ac:dyDescent="0.25"/>
  </sheetData>
  <mergeCells count="11">
    <mergeCell ref="A42:A43"/>
    <mergeCell ref="B42:B43"/>
    <mergeCell ref="D42:G42"/>
    <mergeCell ref="A1:G1"/>
    <mergeCell ref="A2:G2"/>
    <mergeCell ref="A4:G4"/>
    <mergeCell ref="A7:A8"/>
    <mergeCell ref="B7:B8"/>
    <mergeCell ref="C7:C8"/>
    <mergeCell ref="D7:G7"/>
    <mergeCell ref="C42:C43"/>
  </mergeCells>
  <printOptions horizontalCentered="1"/>
  <pageMargins left="0.31496062992125984" right="0.27559055118110237" top="0.27559055118110237" bottom="0.31496062992125984" header="0.51181102362204722" footer="0.15748031496062992"/>
  <pageSetup paperSize="9" scale="6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>
    <tabColor rgb="FF92D050"/>
    <pageSetUpPr fitToPage="1"/>
  </sheetPr>
  <dimension ref="A1:H79"/>
  <sheetViews>
    <sheetView view="pageBreakPreview" topLeftCell="A46" zoomScaleSheetLayoutView="100" workbookViewId="0">
      <selection activeCell="B14" sqref="B14"/>
    </sheetView>
  </sheetViews>
  <sheetFormatPr defaultColWidth="9.109375" defaultRowHeight="15" customHeight="1" x14ac:dyDescent="0.25"/>
  <cols>
    <col min="1" max="1" width="13" style="86" customWidth="1"/>
    <col min="2" max="2" width="74.5546875" style="86" customWidth="1"/>
    <col min="3" max="3" width="14" style="86" customWidth="1"/>
    <col min="4" max="4" width="12.5546875" style="86" customWidth="1"/>
    <col min="5" max="5" width="13" style="86" customWidth="1"/>
    <col min="6" max="6" width="15.109375" style="86" customWidth="1"/>
    <col min="7" max="12" width="0" style="86" hidden="1" customWidth="1"/>
    <col min="13" max="16384" width="9.109375" style="86"/>
  </cols>
  <sheetData>
    <row r="1" spans="1:6" ht="17.399999999999999" x14ac:dyDescent="0.3">
      <c r="A1" s="1841" t="str">
        <f>'9.Művészetek Háza'!A1:G1</f>
        <v>Pilisvörösvár Város Önkormányzata Képviselő-testületének 1/2021. (II. 15.) önkormányzati rendelete</v>
      </c>
      <c r="B1" s="1841"/>
      <c r="C1" s="1841"/>
      <c r="D1" s="1841"/>
      <c r="E1" s="1841"/>
      <c r="F1" s="1841"/>
    </row>
    <row r="2" spans="1:6" ht="17.399999999999999" x14ac:dyDescent="0.3">
      <c r="A2" s="1841" t="str">
        <f>'9.Művészetek Háza'!A2:G2</f>
        <v>az Önkormányzat  2021. évi költségvetéséről</v>
      </c>
      <c r="B2" s="1841"/>
      <c r="C2" s="1841"/>
      <c r="D2" s="1841"/>
      <c r="E2" s="1841"/>
      <c r="F2" s="1841"/>
    </row>
    <row r="4" spans="1:6" ht="27.75" customHeight="1" x14ac:dyDescent="0.3">
      <c r="A4" s="1842" t="str">
        <f>Tartalomjegyzék_2021!B17</f>
        <v>Gazdasági Ellátó Szervezet költségvetése kötelező és önként vállalt feladat szerinti bontásban</v>
      </c>
      <c r="B4" s="1842"/>
      <c r="C4" s="1842"/>
      <c r="D4" s="1842"/>
      <c r="E4" s="1842"/>
      <c r="F4" s="1842"/>
    </row>
    <row r="5" spans="1:6" ht="18" x14ac:dyDescent="0.35">
      <c r="F5" s="272" t="s">
        <v>19</v>
      </c>
    </row>
    <row r="6" spans="1:6" ht="15" customHeight="1" thickBot="1" x14ac:dyDescent="0.4">
      <c r="F6" s="272" t="s">
        <v>201</v>
      </c>
    </row>
    <row r="7" spans="1:6" ht="18.75" customHeight="1" x14ac:dyDescent="0.25">
      <c r="A7" s="1834" t="s">
        <v>242</v>
      </c>
      <c r="B7" s="1836" t="s">
        <v>553</v>
      </c>
      <c r="C7" s="1836" t="s">
        <v>822</v>
      </c>
      <c r="D7" s="1838" t="s">
        <v>823</v>
      </c>
      <c r="E7" s="1839"/>
      <c r="F7" s="1840"/>
    </row>
    <row r="8" spans="1:6" ht="50.4" x14ac:dyDescent="0.25">
      <c r="A8" s="1835"/>
      <c r="B8" s="1837"/>
      <c r="C8" s="1837"/>
      <c r="D8" s="917" t="s">
        <v>117</v>
      </c>
      <c r="E8" s="917" t="s">
        <v>118</v>
      </c>
      <c r="F8" s="939" t="s">
        <v>243</v>
      </c>
    </row>
    <row r="9" spans="1:6" s="48" customFormat="1" ht="15" customHeight="1" x14ac:dyDescent="0.3">
      <c r="A9" s="102" t="s">
        <v>253</v>
      </c>
      <c r="B9" s="103" t="s">
        <v>252</v>
      </c>
      <c r="C9" s="103"/>
      <c r="D9" s="112"/>
      <c r="E9" s="112">
        <v>0</v>
      </c>
      <c r="F9" s="113">
        <f t="shared" ref="E9:F38" si="0">D9+E9</f>
        <v>0</v>
      </c>
    </row>
    <row r="10" spans="1:6" s="48" customFormat="1" ht="15" customHeight="1" x14ac:dyDescent="0.3">
      <c r="A10" s="102" t="s">
        <v>255</v>
      </c>
      <c r="B10" s="103" t="s">
        <v>254</v>
      </c>
      <c r="C10" s="112"/>
      <c r="D10" s="112"/>
      <c r="E10" s="112">
        <v>0</v>
      </c>
      <c r="F10" s="113">
        <f t="shared" si="0"/>
        <v>0</v>
      </c>
    </row>
    <row r="11" spans="1:6" s="48" customFormat="1" ht="15" customHeight="1" x14ac:dyDescent="0.3">
      <c r="A11" s="108" t="s">
        <v>257</v>
      </c>
      <c r="B11" s="93" t="s">
        <v>256</v>
      </c>
      <c r="C11" s="136"/>
      <c r="D11" s="136"/>
      <c r="E11" s="136">
        <f>SUM(E9:E10)</f>
        <v>0</v>
      </c>
      <c r="F11" s="137">
        <f t="shared" si="0"/>
        <v>0</v>
      </c>
    </row>
    <row r="12" spans="1:6" ht="15" customHeight="1" x14ac:dyDescent="0.3">
      <c r="A12" s="108" t="s">
        <v>261</v>
      </c>
      <c r="B12" s="93" t="s">
        <v>260</v>
      </c>
      <c r="C12" s="136"/>
      <c r="D12" s="136"/>
      <c r="E12" s="136">
        <v>0</v>
      </c>
      <c r="F12" s="137">
        <f t="shared" si="0"/>
        <v>0</v>
      </c>
    </row>
    <row r="13" spans="1:6" ht="15" customHeight="1" x14ac:dyDescent="0.3">
      <c r="A13" s="450" t="s">
        <v>113</v>
      </c>
      <c r="B13" s="615" t="s">
        <v>123</v>
      </c>
      <c r="C13" s="136"/>
      <c r="D13" s="112"/>
      <c r="E13" s="136">
        <f t="shared" si="0"/>
        <v>0</v>
      </c>
      <c r="F13" s="113">
        <f t="shared" si="0"/>
        <v>0</v>
      </c>
    </row>
    <row r="14" spans="1:6" s="48" customFormat="1" ht="15" customHeight="1" x14ac:dyDescent="0.3">
      <c r="A14" s="102" t="s">
        <v>82</v>
      </c>
      <c r="B14" s="103" t="s">
        <v>122</v>
      </c>
      <c r="C14" s="112"/>
      <c r="D14" s="112"/>
      <c r="E14" s="112">
        <v>0</v>
      </c>
      <c r="F14" s="113">
        <f t="shared" si="0"/>
        <v>0</v>
      </c>
    </row>
    <row r="15" spans="1:6" s="48" customFormat="1" ht="15" customHeight="1" x14ac:dyDescent="0.3">
      <c r="A15" s="102" t="s">
        <v>263</v>
      </c>
      <c r="B15" s="103" t="s">
        <v>119</v>
      </c>
      <c r="C15" s="112"/>
      <c r="D15" s="112"/>
      <c r="E15" s="112">
        <v>0</v>
      </c>
      <c r="F15" s="113">
        <f t="shared" si="0"/>
        <v>0</v>
      </c>
    </row>
    <row r="16" spans="1:6" s="48" customFormat="1" ht="15" customHeight="1" x14ac:dyDescent="0.3">
      <c r="A16" s="108" t="s">
        <v>265</v>
      </c>
      <c r="B16" s="93" t="s">
        <v>264</v>
      </c>
      <c r="C16" s="136"/>
      <c r="D16" s="136"/>
      <c r="E16" s="136">
        <f>SUM(E14:E15)</f>
        <v>0</v>
      </c>
      <c r="F16" s="137">
        <f t="shared" si="0"/>
        <v>0</v>
      </c>
    </row>
    <row r="17" spans="1:8" s="48" customFormat="1" ht="15" customHeight="1" x14ac:dyDescent="0.3">
      <c r="A17" s="102" t="s">
        <v>90</v>
      </c>
      <c r="B17" s="95" t="s">
        <v>266</v>
      </c>
      <c r="C17" s="112"/>
      <c r="D17" s="112"/>
      <c r="E17" s="112">
        <v>0</v>
      </c>
      <c r="F17" s="113">
        <v>0</v>
      </c>
    </row>
    <row r="18" spans="1:8" s="48" customFormat="1" ht="15" customHeight="1" x14ac:dyDescent="0.3">
      <c r="A18" s="102" t="s">
        <v>89</v>
      </c>
      <c r="B18" s="103" t="s">
        <v>92</v>
      </c>
      <c r="C18" s="112"/>
      <c r="D18" s="112"/>
      <c r="E18" s="112">
        <v>0</v>
      </c>
      <c r="F18" s="113">
        <f t="shared" si="0"/>
        <v>0</v>
      </c>
    </row>
    <row r="19" spans="1:8" s="48" customFormat="1" ht="15" customHeight="1" x14ac:dyDescent="0.3">
      <c r="A19" s="102" t="s">
        <v>88</v>
      </c>
      <c r="B19" s="103" t="s">
        <v>84</v>
      </c>
      <c r="C19" s="112"/>
      <c r="D19" s="112"/>
      <c r="E19" s="112">
        <v>0</v>
      </c>
      <c r="F19" s="113">
        <f t="shared" si="0"/>
        <v>0</v>
      </c>
    </row>
    <row r="20" spans="1:8" s="48" customFormat="1" ht="15" customHeight="1" x14ac:dyDescent="0.3">
      <c r="A20" s="102" t="s">
        <v>272</v>
      </c>
      <c r="B20" s="103" t="s">
        <v>271</v>
      </c>
      <c r="C20" s="112"/>
      <c r="D20" s="112"/>
      <c r="E20" s="112">
        <v>0</v>
      </c>
      <c r="F20" s="113">
        <f t="shared" si="0"/>
        <v>0</v>
      </c>
    </row>
    <row r="21" spans="1:8" s="48" customFormat="1" ht="15" customHeight="1" x14ac:dyDescent="0.3">
      <c r="A21" s="102" t="s">
        <v>274</v>
      </c>
      <c r="B21" s="103" t="s">
        <v>273</v>
      </c>
      <c r="C21" s="112"/>
      <c r="D21" s="112"/>
      <c r="E21" s="112">
        <v>0</v>
      </c>
      <c r="F21" s="113">
        <f t="shared" si="0"/>
        <v>0</v>
      </c>
    </row>
    <row r="22" spans="1:8" s="48" customFormat="1" ht="15" customHeight="1" x14ac:dyDescent="0.3">
      <c r="A22" s="102" t="s">
        <v>277</v>
      </c>
      <c r="B22" s="103" t="s">
        <v>276</v>
      </c>
      <c r="C22" s="112"/>
      <c r="D22" s="112"/>
      <c r="E22" s="112">
        <v>0</v>
      </c>
      <c r="F22" s="113">
        <f t="shared" si="0"/>
        <v>0</v>
      </c>
    </row>
    <row r="23" spans="1:8" s="48" customFormat="1" ht="15" customHeight="1" x14ac:dyDescent="0.3">
      <c r="A23" s="108" t="s">
        <v>279</v>
      </c>
      <c r="B23" s="94" t="s">
        <v>278</v>
      </c>
      <c r="C23" s="136"/>
      <c r="D23" s="136"/>
      <c r="E23" s="112">
        <v>0</v>
      </c>
      <c r="F23" s="137">
        <f>D23+E23</f>
        <v>0</v>
      </c>
    </row>
    <row r="24" spans="1:8" s="48" customFormat="1" ht="16.8" x14ac:dyDescent="0.3">
      <c r="A24" s="108" t="s">
        <v>285</v>
      </c>
      <c r="B24" s="93" t="s">
        <v>284</v>
      </c>
      <c r="C24" s="136"/>
      <c r="D24" s="136"/>
      <c r="E24" s="112">
        <v>0</v>
      </c>
      <c r="F24" s="137">
        <f t="shared" si="0"/>
        <v>0</v>
      </c>
    </row>
    <row r="25" spans="1:8" s="48" customFormat="1" ht="15" customHeight="1" x14ac:dyDescent="0.3">
      <c r="A25" s="108" t="s">
        <v>289</v>
      </c>
      <c r="B25" s="93" t="s">
        <v>288</v>
      </c>
      <c r="C25" s="136"/>
      <c r="D25" s="136"/>
      <c r="E25" s="112">
        <v>0</v>
      </c>
      <c r="F25" s="137">
        <f t="shared" si="0"/>
        <v>0</v>
      </c>
    </row>
    <row r="26" spans="1:8" s="48" customFormat="1" ht="15" customHeight="1" x14ac:dyDescent="0.3">
      <c r="A26" s="102" t="s">
        <v>291</v>
      </c>
      <c r="B26" s="103" t="s">
        <v>290</v>
      </c>
      <c r="C26" s="112"/>
      <c r="D26" s="112"/>
      <c r="E26" s="112">
        <v>0</v>
      </c>
      <c r="F26" s="113">
        <f t="shared" si="0"/>
        <v>0</v>
      </c>
    </row>
    <row r="27" spans="1:8" s="48" customFormat="1" ht="15" customHeight="1" x14ac:dyDescent="0.3">
      <c r="A27" s="102" t="s">
        <v>293</v>
      </c>
      <c r="B27" s="95" t="s">
        <v>292</v>
      </c>
      <c r="C27" s="112"/>
      <c r="D27" s="112"/>
      <c r="E27" s="112">
        <v>0</v>
      </c>
      <c r="F27" s="113">
        <f t="shared" si="0"/>
        <v>0</v>
      </c>
    </row>
    <row r="28" spans="1:8" s="48" customFormat="1" ht="15" customHeight="1" x14ac:dyDescent="0.3">
      <c r="A28" s="108" t="s">
        <v>295</v>
      </c>
      <c r="B28" s="93" t="s">
        <v>294</v>
      </c>
      <c r="C28" s="136"/>
      <c r="D28" s="112"/>
      <c r="E28" s="112">
        <v>0</v>
      </c>
      <c r="F28" s="113">
        <f t="shared" si="0"/>
        <v>0</v>
      </c>
    </row>
    <row r="29" spans="1:8" s="48" customFormat="1" ht="15" customHeight="1" x14ac:dyDescent="0.3">
      <c r="A29" s="114"/>
      <c r="B29" s="115" t="s">
        <v>71</v>
      </c>
      <c r="C29" s="116">
        <f>C11+C12+C16+C23+C25</f>
        <v>0</v>
      </c>
      <c r="D29" s="116">
        <f>D11+D12+D16+D23+D25</f>
        <v>0</v>
      </c>
      <c r="E29" s="116">
        <f>E11+E12+E16+E23+E25</f>
        <v>0</v>
      </c>
      <c r="F29" s="117">
        <f>D29+E29</f>
        <v>0</v>
      </c>
    </row>
    <row r="30" spans="1:8" ht="15" customHeight="1" x14ac:dyDescent="0.3">
      <c r="A30" s="114"/>
      <c r="B30" s="115" t="s">
        <v>72</v>
      </c>
      <c r="C30" s="116">
        <f>C24+C28</f>
        <v>0</v>
      </c>
      <c r="D30" s="116">
        <f>D24+D28</f>
        <v>0</v>
      </c>
      <c r="E30" s="116">
        <f>E24+E28</f>
        <v>0</v>
      </c>
      <c r="F30" s="117">
        <f t="shared" si="0"/>
        <v>0</v>
      </c>
    </row>
    <row r="31" spans="1:8" ht="15" customHeight="1" x14ac:dyDescent="0.3">
      <c r="A31" s="105" t="s">
        <v>297</v>
      </c>
      <c r="B31" s="100" t="s">
        <v>296</v>
      </c>
      <c r="C31" s="109">
        <f>SUM(C29:C30)</f>
        <v>0</v>
      </c>
      <c r="D31" s="109">
        <f t="shared" ref="D31:F31" si="1">SUM(D29:D30)</f>
        <v>0</v>
      </c>
      <c r="E31" s="109">
        <f t="shared" si="1"/>
        <v>0</v>
      </c>
      <c r="F31" s="109">
        <f t="shared" si="1"/>
        <v>0</v>
      </c>
      <c r="H31" s="110"/>
    </row>
    <row r="32" spans="1:8" ht="15" customHeight="1" x14ac:dyDescent="0.3">
      <c r="A32" s="118"/>
      <c r="B32" s="119" t="s">
        <v>298</v>
      </c>
      <c r="C32" s="120">
        <f t="shared" ref="C32:E33" si="2">C29-C59</f>
        <v>-33134</v>
      </c>
      <c r="D32" s="120">
        <f t="shared" si="2"/>
        <v>-37588</v>
      </c>
      <c r="E32" s="120">
        <f t="shared" si="2"/>
        <v>0</v>
      </c>
      <c r="F32" s="121">
        <f t="shared" si="0"/>
        <v>-37588</v>
      </c>
    </row>
    <row r="33" spans="1:7" ht="15" customHeight="1" x14ac:dyDescent="0.3">
      <c r="A33" s="118"/>
      <c r="B33" s="119" t="s">
        <v>299</v>
      </c>
      <c r="C33" s="120">
        <f t="shared" si="2"/>
        <v>-409</v>
      </c>
      <c r="D33" s="120">
        <f t="shared" si="2"/>
        <v>-409</v>
      </c>
      <c r="E33" s="120">
        <f t="shared" si="2"/>
        <v>0</v>
      </c>
      <c r="F33" s="121">
        <f t="shared" si="0"/>
        <v>-409</v>
      </c>
    </row>
    <row r="34" spans="1:7" ht="15" customHeight="1" x14ac:dyDescent="0.3">
      <c r="A34" s="107" t="s">
        <v>303</v>
      </c>
      <c r="B34" s="95" t="s">
        <v>302</v>
      </c>
      <c r="C34" s="112"/>
      <c r="D34" s="112">
        <v>0</v>
      </c>
      <c r="E34" s="112">
        <f t="shared" si="0"/>
        <v>0</v>
      </c>
      <c r="F34" s="113">
        <f t="shared" si="0"/>
        <v>0</v>
      </c>
    </row>
    <row r="35" spans="1:7" ht="15" customHeight="1" x14ac:dyDescent="0.3">
      <c r="A35" s="107" t="s">
        <v>305</v>
      </c>
      <c r="B35" s="103" t="s">
        <v>304</v>
      </c>
      <c r="C35" s="112"/>
      <c r="D35" s="112">
        <v>0</v>
      </c>
      <c r="E35" s="112">
        <f t="shared" si="0"/>
        <v>0</v>
      </c>
      <c r="F35" s="113">
        <f t="shared" si="0"/>
        <v>0</v>
      </c>
    </row>
    <row r="36" spans="1:7" ht="45" customHeight="1" x14ac:dyDescent="0.3">
      <c r="A36" s="107" t="s">
        <v>305</v>
      </c>
      <c r="B36" s="103" t="s">
        <v>306</v>
      </c>
      <c r="C36" s="112"/>
      <c r="D36" s="112">
        <v>0</v>
      </c>
      <c r="E36" s="112">
        <f t="shared" si="0"/>
        <v>0</v>
      </c>
      <c r="F36" s="113">
        <f t="shared" si="0"/>
        <v>0</v>
      </c>
    </row>
    <row r="37" spans="1:7" s="48" customFormat="1" ht="15" customHeight="1" x14ac:dyDescent="0.3">
      <c r="A37" s="107" t="s">
        <v>308</v>
      </c>
      <c r="B37" s="103" t="s">
        <v>307</v>
      </c>
      <c r="C37" s="112"/>
      <c r="D37" s="112"/>
      <c r="E37" s="112">
        <f t="shared" si="0"/>
        <v>0</v>
      </c>
      <c r="F37" s="113">
        <f t="shared" si="0"/>
        <v>0</v>
      </c>
    </row>
    <row r="38" spans="1:7" ht="15" customHeight="1" x14ac:dyDescent="0.3">
      <c r="A38" s="122" t="s">
        <v>310</v>
      </c>
      <c r="B38" s="103" t="s">
        <v>309</v>
      </c>
      <c r="C38" s="112">
        <f>'3. Gesz költségvetés'!I33</f>
        <v>33543</v>
      </c>
      <c r="D38" s="112">
        <f>'3. Gesz költségvetés'!J33</f>
        <v>37997</v>
      </c>
      <c r="E38" s="112">
        <v>0</v>
      </c>
      <c r="F38" s="113">
        <f t="shared" si="0"/>
        <v>37997</v>
      </c>
    </row>
    <row r="39" spans="1:7" ht="15" customHeight="1" x14ac:dyDescent="0.3">
      <c r="A39" s="130" t="s">
        <v>318</v>
      </c>
      <c r="B39" s="129" t="s">
        <v>317</v>
      </c>
      <c r="C39" s="109">
        <f>SUM(C34:C38)</f>
        <v>33543</v>
      </c>
      <c r="D39" s="109">
        <f t="shared" ref="D39:F39" si="3">SUM(D34:D38)</f>
        <v>37997</v>
      </c>
      <c r="E39" s="109">
        <f t="shared" si="3"/>
        <v>0</v>
      </c>
      <c r="F39" s="109">
        <f t="shared" si="3"/>
        <v>37997</v>
      </c>
    </row>
    <row r="40" spans="1:7" ht="17.399999999999999" thickBot="1" x14ac:dyDescent="0.35">
      <c r="A40" s="140"/>
      <c r="B40" s="141" t="s">
        <v>234</v>
      </c>
      <c r="C40" s="1327">
        <f>C31+C38</f>
        <v>33543</v>
      </c>
      <c r="D40" s="1327">
        <f t="shared" ref="D40:F40" si="4">D31+D38</f>
        <v>37997</v>
      </c>
      <c r="E40" s="1327">
        <f t="shared" si="4"/>
        <v>0</v>
      </c>
      <c r="F40" s="1327">
        <f t="shared" si="4"/>
        <v>37997</v>
      </c>
      <c r="G40" s="449"/>
    </row>
    <row r="41" spans="1:7" ht="15" customHeight="1" thickBot="1" x14ac:dyDescent="0.35">
      <c r="A41" s="681"/>
      <c r="B41" s="681"/>
      <c r="C41" s="1330"/>
      <c r="D41" s="1330"/>
      <c r="E41" s="1330"/>
      <c r="F41" s="1330"/>
    </row>
    <row r="42" spans="1:7" ht="18.75" customHeight="1" x14ac:dyDescent="0.25">
      <c r="A42" s="1834" t="s">
        <v>242</v>
      </c>
      <c r="B42" s="1836" t="s">
        <v>554</v>
      </c>
      <c r="C42" s="1331" t="s">
        <v>730</v>
      </c>
      <c r="D42" s="1845" t="s">
        <v>823</v>
      </c>
      <c r="E42" s="1846"/>
      <c r="F42" s="1847"/>
    </row>
    <row r="43" spans="1:7" ht="50.4" x14ac:dyDescent="0.25">
      <c r="A43" s="1835"/>
      <c r="B43" s="1837"/>
      <c r="C43" s="1328" t="s">
        <v>117</v>
      </c>
      <c r="D43" s="917" t="s">
        <v>117</v>
      </c>
      <c r="E43" s="917" t="s">
        <v>118</v>
      </c>
      <c r="F43" s="939" t="s">
        <v>243</v>
      </c>
    </row>
    <row r="44" spans="1:7" ht="15" customHeight="1" x14ac:dyDescent="0.3">
      <c r="A44" s="91" t="s">
        <v>166</v>
      </c>
      <c r="B44" s="92" t="s">
        <v>167</v>
      </c>
      <c r="C44" s="1329">
        <f>'3. Gesz költségvetés'!I39</f>
        <v>26028</v>
      </c>
      <c r="D44" s="112">
        <f>'3. Gesz költségvetés'!J39</f>
        <v>29970</v>
      </c>
      <c r="E44" s="112">
        <v>0</v>
      </c>
      <c r="F44" s="113">
        <f>D44+E44</f>
        <v>29970</v>
      </c>
    </row>
    <row r="45" spans="1:7" ht="15" customHeight="1" x14ac:dyDescent="0.3">
      <c r="A45" s="91" t="s">
        <v>168</v>
      </c>
      <c r="B45" s="103" t="s">
        <v>169</v>
      </c>
      <c r="C45" s="112">
        <f>'3. Gesz költségvetés'!I40</f>
        <v>4661</v>
      </c>
      <c r="D45" s="112">
        <f>'3. Gesz költségvetés'!J40</f>
        <v>4662</v>
      </c>
      <c r="E45" s="112">
        <v>0</v>
      </c>
      <c r="F45" s="113">
        <f t="shared" ref="F45:F58" si="5">D45+E45</f>
        <v>4662</v>
      </c>
    </row>
    <row r="46" spans="1:7" ht="15" customHeight="1" x14ac:dyDescent="0.3">
      <c r="A46" s="91" t="s">
        <v>170</v>
      </c>
      <c r="B46" s="103" t="s">
        <v>171</v>
      </c>
      <c r="C46" s="112">
        <f>'3. Gesz költségvetés'!I41</f>
        <v>2445</v>
      </c>
      <c r="D46" s="112">
        <f>'3. Gesz költségvetés'!J41</f>
        <v>2956</v>
      </c>
      <c r="E46" s="112">
        <v>0</v>
      </c>
      <c r="F46" s="113">
        <f t="shared" si="5"/>
        <v>2956</v>
      </c>
    </row>
    <row r="47" spans="1:7" ht="15" customHeight="1" x14ac:dyDescent="0.3">
      <c r="A47" s="91" t="s">
        <v>172</v>
      </c>
      <c r="B47" s="95" t="s">
        <v>23</v>
      </c>
      <c r="C47" s="112"/>
      <c r="D47" s="112"/>
      <c r="E47" s="112"/>
      <c r="F47" s="113">
        <f t="shared" si="5"/>
        <v>0</v>
      </c>
    </row>
    <row r="48" spans="1:7" ht="15" customHeight="1" x14ac:dyDescent="0.3">
      <c r="A48" s="91" t="s">
        <v>173</v>
      </c>
      <c r="B48" s="96" t="s">
        <v>174</v>
      </c>
      <c r="C48" s="112"/>
      <c r="D48" s="112"/>
      <c r="E48" s="112"/>
      <c r="F48" s="113">
        <f t="shared" si="5"/>
        <v>0</v>
      </c>
    </row>
    <row r="49" spans="1:6" ht="15" customHeight="1" x14ac:dyDescent="0.3">
      <c r="A49" s="91" t="s">
        <v>176</v>
      </c>
      <c r="B49" s="96" t="s">
        <v>175</v>
      </c>
      <c r="C49" s="112"/>
      <c r="D49" s="112"/>
      <c r="E49" s="112"/>
      <c r="F49" s="113">
        <f t="shared" si="5"/>
        <v>0</v>
      </c>
    </row>
    <row r="50" spans="1:6" ht="15" customHeight="1" x14ac:dyDescent="0.3">
      <c r="A50" s="91" t="s">
        <v>544</v>
      </c>
      <c r="B50" s="97" t="s">
        <v>177</v>
      </c>
      <c r="C50" s="112"/>
      <c r="D50" s="112"/>
      <c r="E50" s="112"/>
      <c r="F50" s="113">
        <f t="shared" si="5"/>
        <v>0</v>
      </c>
    </row>
    <row r="51" spans="1:6" ht="15" customHeight="1" x14ac:dyDescent="0.3">
      <c r="A51" s="91" t="s">
        <v>544</v>
      </c>
      <c r="B51" s="97" t="s">
        <v>121</v>
      </c>
      <c r="C51" s="112"/>
      <c r="D51" s="112"/>
      <c r="E51" s="112"/>
      <c r="F51" s="113">
        <f t="shared" si="5"/>
        <v>0</v>
      </c>
    </row>
    <row r="52" spans="1:6" ht="15" customHeight="1" x14ac:dyDescent="0.3">
      <c r="A52" s="91" t="s">
        <v>544</v>
      </c>
      <c r="B52" s="97" t="s">
        <v>178</v>
      </c>
      <c r="C52" s="112"/>
      <c r="D52" s="112"/>
      <c r="E52" s="112"/>
      <c r="F52" s="113">
        <f t="shared" si="5"/>
        <v>0</v>
      </c>
    </row>
    <row r="53" spans="1:6" ht="15" customHeight="1" x14ac:dyDescent="0.3">
      <c r="A53" s="91" t="s">
        <v>179</v>
      </c>
      <c r="B53" s="95" t="s">
        <v>180</v>
      </c>
      <c r="C53" s="112"/>
      <c r="D53" s="112"/>
      <c r="E53" s="112"/>
      <c r="F53" s="113">
        <f t="shared" si="5"/>
        <v>0</v>
      </c>
    </row>
    <row r="54" spans="1:6" ht="15" customHeight="1" x14ac:dyDescent="0.3">
      <c r="A54" s="91" t="s">
        <v>181</v>
      </c>
      <c r="B54" s="123" t="s">
        <v>321</v>
      </c>
      <c r="C54" s="112">
        <f>'3. Gesz költségvetés'!I49</f>
        <v>409</v>
      </c>
      <c r="D54" s="112">
        <f>'3. Gesz költségvetés'!J49</f>
        <v>409</v>
      </c>
      <c r="E54" s="112">
        <v>0</v>
      </c>
      <c r="F54" s="113">
        <f t="shared" si="5"/>
        <v>409</v>
      </c>
    </row>
    <row r="55" spans="1:6" ht="15" customHeight="1" x14ac:dyDescent="0.3">
      <c r="A55" s="91" t="s">
        <v>182</v>
      </c>
      <c r="B55" s="95" t="s">
        <v>183</v>
      </c>
      <c r="C55" s="112"/>
      <c r="D55" s="112"/>
      <c r="E55" s="112"/>
      <c r="F55" s="113">
        <f t="shared" si="5"/>
        <v>0</v>
      </c>
    </row>
    <row r="56" spans="1:6" ht="15" customHeight="1" x14ac:dyDescent="0.3">
      <c r="A56" s="91" t="s">
        <v>141</v>
      </c>
      <c r="B56" s="95" t="s">
        <v>120</v>
      </c>
      <c r="C56" s="112"/>
      <c r="D56" s="112"/>
      <c r="E56" s="112"/>
      <c r="F56" s="113">
        <f t="shared" si="5"/>
        <v>0</v>
      </c>
    </row>
    <row r="57" spans="1:6" ht="15" customHeight="1" x14ac:dyDescent="0.3">
      <c r="A57" s="91" t="s">
        <v>184</v>
      </c>
      <c r="B57" s="95" t="s">
        <v>185</v>
      </c>
      <c r="C57" s="112"/>
      <c r="D57" s="112"/>
      <c r="E57" s="112"/>
      <c r="F57" s="113">
        <f t="shared" si="5"/>
        <v>0</v>
      </c>
    </row>
    <row r="58" spans="1:6" ht="15" customHeight="1" x14ac:dyDescent="0.3">
      <c r="A58" s="91" t="s">
        <v>186</v>
      </c>
      <c r="B58" s="95" t="s">
        <v>187</v>
      </c>
      <c r="C58" s="112"/>
      <c r="D58" s="112"/>
      <c r="E58" s="112"/>
      <c r="F58" s="113">
        <f t="shared" si="5"/>
        <v>0</v>
      </c>
    </row>
    <row r="59" spans="1:6" ht="15" customHeight="1" x14ac:dyDescent="0.3">
      <c r="A59" s="131"/>
      <c r="B59" s="128" t="s">
        <v>202</v>
      </c>
      <c r="C59" s="138">
        <f>SUM(C44:C53)</f>
        <v>33134</v>
      </c>
      <c r="D59" s="138">
        <f>SUM(D44:D53)</f>
        <v>37588</v>
      </c>
      <c r="E59" s="138">
        <f>SUM(E44:E53)</f>
        <v>0</v>
      </c>
      <c r="F59" s="139">
        <f>SUM(F44:F53)</f>
        <v>37588</v>
      </c>
    </row>
    <row r="60" spans="1:6" ht="15" customHeight="1" x14ac:dyDescent="0.3">
      <c r="A60" s="131"/>
      <c r="B60" s="128" t="s">
        <v>203</v>
      </c>
      <c r="C60" s="138">
        <f>SUM(C54:C58)</f>
        <v>409</v>
      </c>
      <c r="D60" s="138">
        <f>SUM(D54:D58)</f>
        <v>409</v>
      </c>
      <c r="E60" s="138">
        <f>SUM(E54:E58)</f>
        <v>0</v>
      </c>
      <c r="F60" s="139">
        <f>SUM(F54:F58)</f>
        <v>409</v>
      </c>
    </row>
    <row r="61" spans="1:6" ht="15" customHeight="1" x14ac:dyDescent="0.3">
      <c r="A61" s="105" t="s">
        <v>188</v>
      </c>
      <c r="B61" s="100" t="s">
        <v>189</v>
      </c>
      <c r="C61" s="109">
        <f>SUM(C59:C60)</f>
        <v>33543</v>
      </c>
      <c r="D61" s="109">
        <f>SUM(D59:D60)</f>
        <v>37997</v>
      </c>
      <c r="E61" s="109">
        <f>SUM(E59:E60)</f>
        <v>0</v>
      </c>
      <c r="F61" s="110">
        <f>SUM(F59:F60)</f>
        <v>37997</v>
      </c>
    </row>
    <row r="62" spans="1:6" ht="15" customHeight="1" x14ac:dyDescent="0.25">
      <c r="A62" s="107" t="s">
        <v>190</v>
      </c>
      <c r="B62" s="95" t="s">
        <v>142</v>
      </c>
      <c r="C62" s="101"/>
      <c r="D62" s="101"/>
      <c r="E62" s="101"/>
      <c r="F62" s="125"/>
    </row>
    <row r="63" spans="1:6" ht="15" customHeight="1" x14ac:dyDescent="0.25">
      <c r="A63" s="107" t="s">
        <v>204</v>
      </c>
      <c r="B63" s="95" t="s">
        <v>205</v>
      </c>
      <c r="C63" s="126"/>
      <c r="D63" s="126"/>
      <c r="E63" s="126"/>
      <c r="F63" s="127"/>
    </row>
    <row r="64" spans="1:6" ht="15" customHeight="1" x14ac:dyDescent="0.3">
      <c r="A64" s="130" t="s">
        <v>200</v>
      </c>
      <c r="B64" s="129" t="s">
        <v>26</v>
      </c>
      <c r="C64" s="109">
        <f>SUM(C62:C63)</f>
        <v>0</v>
      </c>
      <c r="D64" s="109">
        <f>SUM(D62:D63)</f>
        <v>0</v>
      </c>
      <c r="E64" s="109">
        <f>SUM(E62:E63)</f>
        <v>0</v>
      </c>
      <c r="F64" s="110">
        <f>SUM(F62:F63)</f>
        <v>0</v>
      </c>
    </row>
    <row r="65" spans="1:6" ht="17.399999999999999" thickBot="1" x14ac:dyDescent="0.35">
      <c r="A65" s="140"/>
      <c r="B65" s="141" t="s">
        <v>224</v>
      </c>
      <c r="C65" s="144">
        <f>C61+C64</f>
        <v>33543</v>
      </c>
      <c r="D65" s="144">
        <f>D61+D64</f>
        <v>37997</v>
      </c>
      <c r="E65" s="144">
        <f>E61+E64</f>
        <v>0</v>
      </c>
      <c r="F65" s="145">
        <f>F61+F64</f>
        <v>37997</v>
      </c>
    </row>
    <row r="66" spans="1:6" ht="15" hidden="1" customHeight="1" x14ac:dyDescent="0.25"/>
    <row r="67" spans="1:6" ht="15" hidden="1" customHeight="1" x14ac:dyDescent="0.25">
      <c r="F67" s="449">
        <f>F40-F65</f>
        <v>0</v>
      </c>
    </row>
    <row r="68" spans="1:6" ht="15" hidden="1" customHeight="1" x14ac:dyDescent="0.25">
      <c r="F68" s="449"/>
    </row>
    <row r="69" spans="1:6" ht="15" hidden="1" customHeight="1" x14ac:dyDescent="0.25"/>
    <row r="70" spans="1:6" ht="15" hidden="1" customHeight="1" x14ac:dyDescent="0.25"/>
    <row r="71" spans="1:6" ht="15" hidden="1" customHeight="1" x14ac:dyDescent="0.25"/>
    <row r="72" spans="1:6" ht="15" hidden="1" customHeight="1" x14ac:dyDescent="0.25"/>
    <row r="73" spans="1:6" ht="15" hidden="1" customHeight="1" x14ac:dyDescent="0.25"/>
    <row r="74" spans="1:6" ht="15" hidden="1" customHeight="1" x14ac:dyDescent="0.25"/>
    <row r="75" spans="1:6" ht="15" hidden="1" customHeight="1" x14ac:dyDescent="0.25"/>
    <row r="76" spans="1:6" ht="15" hidden="1" customHeight="1" x14ac:dyDescent="0.25"/>
    <row r="77" spans="1:6" ht="15" hidden="1" customHeight="1" x14ac:dyDescent="0.25"/>
    <row r="78" spans="1:6" ht="15" hidden="1" customHeight="1" x14ac:dyDescent="0.25"/>
    <row r="79" spans="1:6" ht="15" hidden="1" customHeight="1" x14ac:dyDescent="0.25"/>
  </sheetData>
  <mergeCells count="10">
    <mergeCell ref="A1:F1"/>
    <mergeCell ref="A2:F2"/>
    <mergeCell ref="A4:F4"/>
    <mergeCell ref="A42:A43"/>
    <mergeCell ref="B42:B43"/>
    <mergeCell ref="D42:F42"/>
    <mergeCell ref="A7:A8"/>
    <mergeCell ref="B7:B8"/>
    <mergeCell ref="C7:C8"/>
    <mergeCell ref="D7:F7"/>
  </mergeCells>
  <printOptions horizontalCentered="1"/>
  <pageMargins left="0.31496062992125984" right="0.27559055118110237" top="0.27559055118110237" bottom="0.31496062992125984" header="0.51181102362204722" footer="0.15748031496062992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3">
    <tabColor rgb="FF92D050"/>
    <pageSetUpPr fitToPage="1"/>
  </sheetPr>
  <dimension ref="A1:H80"/>
  <sheetViews>
    <sheetView view="pageBreakPreview" topLeftCell="A34" zoomScaleSheetLayoutView="100" workbookViewId="0">
      <selection activeCell="B14" sqref="B14"/>
    </sheetView>
  </sheetViews>
  <sheetFormatPr defaultColWidth="9.109375" defaultRowHeight="15" customHeight="1" x14ac:dyDescent="0.25"/>
  <cols>
    <col min="1" max="1" width="13" style="86" customWidth="1"/>
    <col min="2" max="2" width="74.5546875" style="86" customWidth="1"/>
    <col min="3" max="3" width="18.88671875" style="86" customWidth="1"/>
    <col min="4" max="4" width="12.5546875" style="86" customWidth="1"/>
    <col min="5" max="5" width="13" style="86" customWidth="1"/>
    <col min="6" max="6" width="15.109375" style="86" customWidth="1"/>
    <col min="7" max="13" width="0" style="86" hidden="1" customWidth="1"/>
    <col min="14" max="16384" width="9.109375" style="86"/>
  </cols>
  <sheetData>
    <row r="1" spans="1:6" ht="17.399999999999999" x14ac:dyDescent="0.3">
      <c r="A1" s="1841" t="str">
        <f>'10.GESZ'!A1:F1</f>
        <v>Pilisvörösvár Város Önkormányzata Képviselő-testületének 1/2021. (II. 15.) önkormányzati rendelete</v>
      </c>
      <c r="B1" s="1841"/>
      <c r="C1" s="1841"/>
      <c r="D1" s="1841"/>
      <c r="E1" s="1841"/>
      <c r="F1" s="1841"/>
    </row>
    <row r="2" spans="1:6" ht="17.399999999999999" x14ac:dyDescent="0.3">
      <c r="A2" s="1841" t="str">
        <f>'10.GESZ'!A2:F2</f>
        <v>az Önkormányzat  2021. évi költségvetéséről</v>
      </c>
      <c r="B2" s="1841"/>
      <c r="C2" s="1841"/>
      <c r="D2" s="1841"/>
      <c r="E2" s="1841"/>
      <c r="F2" s="1841"/>
    </row>
    <row r="4" spans="1:6" ht="17.399999999999999" x14ac:dyDescent="0.3">
      <c r="A4" s="1842" t="str">
        <f>Tartalomjegyzék_2021!B18</f>
        <v>Pilisvörösvár Tipegő Bölcsőde költségvetése kötelező és önként vállalt feladat szerinti bontásban</v>
      </c>
      <c r="B4" s="1842"/>
      <c r="C4" s="1842"/>
      <c r="D4" s="1842"/>
      <c r="E4" s="1842"/>
      <c r="F4" s="1842"/>
    </row>
    <row r="5" spans="1:6" ht="18" x14ac:dyDescent="0.35">
      <c r="F5" s="272" t="s">
        <v>238</v>
      </c>
    </row>
    <row r="6" spans="1:6" ht="15" customHeight="1" thickBot="1" x14ac:dyDescent="0.4">
      <c r="F6" s="272" t="s">
        <v>201</v>
      </c>
    </row>
    <row r="7" spans="1:6" ht="18.75" customHeight="1" x14ac:dyDescent="0.25">
      <c r="A7" s="1834" t="s">
        <v>242</v>
      </c>
      <c r="B7" s="1836" t="s">
        <v>553</v>
      </c>
      <c r="C7" s="1836" t="s">
        <v>822</v>
      </c>
      <c r="D7" s="1838" t="s">
        <v>823</v>
      </c>
      <c r="E7" s="1839"/>
      <c r="F7" s="1840"/>
    </row>
    <row r="8" spans="1:6" ht="50.4" x14ac:dyDescent="0.25">
      <c r="A8" s="1835"/>
      <c r="B8" s="1837"/>
      <c r="C8" s="1837"/>
      <c r="D8" s="917" t="s">
        <v>117</v>
      </c>
      <c r="E8" s="917" t="s">
        <v>118</v>
      </c>
      <c r="F8" s="939" t="s">
        <v>243</v>
      </c>
    </row>
    <row r="9" spans="1:6" s="48" customFormat="1" ht="15" customHeight="1" x14ac:dyDescent="0.3">
      <c r="A9" s="102" t="s">
        <v>253</v>
      </c>
      <c r="B9" s="103" t="s">
        <v>252</v>
      </c>
      <c r="C9" s="103"/>
      <c r="D9" s="112"/>
      <c r="E9" s="112">
        <v>0</v>
      </c>
      <c r="F9" s="113">
        <f t="shared" ref="F9:F38" si="0">D9+E9</f>
        <v>0</v>
      </c>
    </row>
    <row r="10" spans="1:6" s="48" customFormat="1" ht="15" customHeight="1" x14ac:dyDescent="0.3">
      <c r="A10" s="102" t="s">
        <v>255</v>
      </c>
      <c r="B10" s="103" t="s">
        <v>254</v>
      </c>
      <c r="C10" s="112"/>
      <c r="D10" s="112"/>
      <c r="E10" s="112">
        <v>0</v>
      </c>
      <c r="F10" s="113">
        <f t="shared" si="0"/>
        <v>0</v>
      </c>
    </row>
    <row r="11" spans="1:6" s="48" customFormat="1" ht="15" customHeight="1" x14ac:dyDescent="0.3">
      <c r="A11" s="108" t="s">
        <v>257</v>
      </c>
      <c r="B11" s="93" t="s">
        <v>256</v>
      </c>
      <c r="C11" s="136"/>
      <c r="D11" s="136"/>
      <c r="E11" s="136">
        <v>0</v>
      </c>
      <c r="F11" s="137">
        <f t="shared" si="0"/>
        <v>0</v>
      </c>
    </row>
    <row r="12" spans="1:6" ht="15" customHeight="1" x14ac:dyDescent="0.3">
      <c r="A12" s="108" t="s">
        <v>261</v>
      </c>
      <c r="B12" s="93" t="s">
        <v>260</v>
      </c>
      <c r="C12" s="136"/>
      <c r="D12" s="136"/>
      <c r="E12" s="136">
        <v>0</v>
      </c>
      <c r="F12" s="137">
        <f t="shared" si="0"/>
        <v>0</v>
      </c>
    </row>
    <row r="13" spans="1:6" ht="15" customHeight="1" x14ac:dyDescent="0.3">
      <c r="A13" s="450" t="s">
        <v>113</v>
      </c>
      <c r="B13" s="615" t="s">
        <v>123</v>
      </c>
      <c r="C13" s="136"/>
      <c r="D13" s="112"/>
      <c r="E13" s="112">
        <v>0</v>
      </c>
      <c r="F13" s="113">
        <f t="shared" si="0"/>
        <v>0</v>
      </c>
    </row>
    <row r="14" spans="1:6" s="48" customFormat="1" ht="15" customHeight="1" x14ac:dyDescent="0.3">
      <c r="A14" s="102" t="s">
        <v>82</v>
      </c>
      <c r="B14" s="103" t="s">
        <v>122</v>
      </c>
      <c r="C14" s="112"/>
      <c r="D14" s="112"/>
      <c r="E14" s="112">
        <v>0</v>
      </c>
      <c r="F14" s="113">
        <f t="shared" si="0"/>
        <v>0</v>
      </c>
    </row>
    <row r="15" spans="1:6" s="48" customFormat="1" ht="15" customHeight="1" x14ac:dyDescent="0.3">
      <c r="A15" s="102" t="s">
        <v>263</v>
      </c>
      <c r="B15" s="103" t="s">
        <v>119</v>
      </c>
      <c r="C15" s="112"/>
      <c r="D15" s="112"/>
      <c r="E15" s="112">
        <v>0</v>
      </c>
      <c r="F15" s="113">
        <f t="shared" si="0"/>
        <v>0</v>
      </c>
    </row>
    <row r="16" spans="1:6" s="48" customFormat="1" ht="15" customHeight="1" x14ac:dyDescent="0.3">
      <c r="A16" s="108" t="s">
        <v>265</v>
      </c>
      <c r="B16" s="93" t="s">
        <v>264</v>
      </c>
      <c r="C16" s="136"/>
      <c r="D16" s="136"/>
      <c r="E16" s="112">
        <v>0</v>
      </c>
      <c r="F16" s="113">
        <f t="shared" si="0"/>
        <v>0</v>
      </c>
    </row>
    <row r="17" spans="1:8" s="48" customFormat="1" ht="15" customHeight="1" x14ac:dyDescent="0.3">
      <c r="A17" s="102" t="s">
        <v>90</v>
      </c>
      <c r="B17" s="95" t="s">
        <v>266</v>
      </c>
      <c r="C17" s="112"/>
      <c r="D17" s="112"/>
      <c r="E17" s="112">
        <v>0</v>
      </c>
      <c r="F17" s="113">
        <f t="shared" si="0"/>
        <v>0</v>
      </c>
    </row>
    <row r="18" spans="1:8" s="48" customFormat="1" ht="15" customHeight="1" x14ac:dyDescent="0.3">
      <c r="A18" s="102" t="s">
        <v>89</v>
      </c>
      <c r="B18" s="103" t="s">
        <v>92</v>
      </c>
      <c r="C18" s="112"/>
      <c r="D18" s="112"/>
      <c r="E18" s="112">
        <v>0</v>
      </c>
      <c r="F18" s="113">
        <f t="shared" si="0"/>
        <v>0</v>
      </c>
    </row>
    <row r="19" spans="1:8" s="48" customFormat="1" ht="15" customHeight="1" x14ac:dyDescent="0.3">
      <c r="A19" s="102" t="s">
        <v>88</v>
      </c>
      <c r="B19" s="103" t="s">
        <v>84</v>
      </c>
      <c r="C19" s="112"/>
      <c r="D19" s="112"/>
      <c r="E19" s="112">
        <v>0</v>
      </c>
      <c r="F19" s="113">
        <f t="shared" si="0"/>
        <v>0</v>
      </c>
    </row>
    <row r="20" spans="1:8" s="48" customFormat="1" ht="15" customHeight="1" x14ac:dyDescent="0.3">
      <c r="A20" s="102" t="s">
        <v>272</v>
      </c>
      <c r="B20" s="103" t="s">
        <v>271</v>
      </c>
      <c r="C20" s="112"/>
      <c r="D20" s="112"/>
      <c r="E20" s="112">
        <v>0</v>
      </c>
      <c r="F20" s="113">
        <f t="shared" si="0"/>
        <v>0</v>
      </c>
    </row>
    <row r="21" spans="1:8" s="48" customFormat="1" ht="15" customHeight="1" x14ac:dyDescent="0.3">
      <c r="A21" s="102" t="s">
        <v>274</v>
      </c>
      <c r="B21" s="103" t="s">
        <v>273</v>
      </c>
      <c r="C21" s="112">
        <f>'3. Gesz költségvetés'!K22</f>
        <v>3100</v>
      </c>
      <c r="D21" s="112">
        <f>'3. Gesz költségvetés'!L22</f>
        <v>3787</v>
      </c>
      <c r="E21" s="112">
        <v>0</v>
      </c>
      <c r="F21" s="113">
        <f t="shared" si="0"/>
        <v>3787</v>
      </c>
    </row>
    <row r="22" spans="1:8" s="48" customFormat="1" ht="15" customHeight="1" x14ac:dyDescent="0.3">
      <c r="A22" s="102" t="s">
        <v>277</v>
      </c>
      <c r="B22" s="103" t="s">
        <v>276</v>
      </c>
      <c r="C22" s="112"/>
      <c r="D22" s="112"/>
      <c r="E22" s="112">
        <v>0</v>
      </c>
      <c r="F22" s="113">
        <f t="shared" si="0"/>
        <v>0</v>
      </c>
    </row>
    <row r="23" spans="1:8" s="48" customFormat="1" ht="15" customHeight="1" x14ac:dyDescent="0.3">
      <c r="A23" s="108" t="s">
        <v>279</v>
      </c>
      <c r="B23" s="94" t="s">
        <v>278</v>
      </c>
      <c r="C23" s="136">
        <f>SUM(C17:C22)</f>
        <v>3100</v>
      </c>
      <c r="D23" s="136">
        <f>SUM(D17:D22)</f>
        <v>3787</v>
      </c>
      <c r="E23" s="136">
        <v>0</v>
      </c>
      <c r="F23" s="137">
        <f t="shared" si="0"/>
        <v>3787</v>
      </c>
    </row>
    <row r="24" spans="1:8" s="48" customFormat="1" ht="16.8" x14ac:dyDescent="0.3">
      <c r="A24" s="108" t="s">
        <v>285</v>
      </c>
      <c r="B24" s="93" t="s">
        <v>284</v>
      </c>
      <c r="C24" s="136"/>
      <c r="D24" s="136"/>
      <c r="E24" s="136">
        <v>0</v>
      </c>
      <c r="F24" s="137">
        <f t="shared" si="0"/>
        <v>0</v>
      </c>
    </row>
    <row r="25" spans="1:8" s="48" customFormat="1" ht="15" customHeight="1" x14ac:dyDescent="0.3">
      <c r="A25" s="108" t="s">
        <v>289</v>
      </c>
      <c r="B25" s="93" t="s">
        <v>288</v>
      </c>
      <c r="C25" s="136"/>
      <c r="D25" s="136"/>
      <c r="E25" s="136">
        <v>0</v>
      </c>
      <c r="F25" s="137">
        <f t="shared" si="0"/>
        <v>0</v>
      </c>
    </row>
    <row r="26" spans="1:8" s="48" customFormat="1" ht="15" customHeight="1" x14ac:dyDescent="0.3">
      <c r="A26" s="102" t="s">
        <v>291</v>
      </c>
      <c r="B26" s="103" t="s">
        <v>290</v>
      </c>
      <c r="C26" s="112"/>
      <c r="D26" s="112"/>
      <c r="E26" s="112">
        <v>0</v>
      </c>
      <c r="F26" s="113">
        <f t="shared" si="0"/>
        <v>0</v>
      </c>
    </row>
    <row r="27" spans="1:8" s="48" customFormat="1" ht="15" customHeight="1" x14ac:dyDescent="0.3">
      <c r="A27" s="102" t="s">
        <v>293</v>
      </c>
      <c r="B27" s="95" t="s">
        <v>292</v>
      </c>
      <c r="C27" s="112"/>
      <c r="D27" s="112"/>
      <c r="E27" s="112">
        <v>0</v>
      </c>
      <c r="F27" s="113">
        <f t="shared" si="0"/>
        <v>0</v>
      </c>
    </row>
    <row r="28" spans="1:8" s="48" customFormat="1" ht="15" customHeight="1" x14ac:dyDescent="0.3">
      <c r="A28" s="108" t="s">
        <v>295</v>
      </c>
      <c r="B28" s="93" t="s">
        <v>294</v>
      </c>
      <c r="C28" s="136"/>
      <c r="D28" s="136"/>
      <c r="E28" s="136">
        <v>0</v>
      </c>
      <c r="F28" s="137">
        <f t="shared" si="0"/>
        <v>0</v>
      </c>
    </row>
    <row r="29" spans="1:8" s="48" customFormat="1" ht="15" customHeight="1" x14ac:dyDescent="0.3">
      <c r="A29" s="114"/>
      <c r="B29" s="115" t="s">
        <v>71</v>
      </c>
      <c r="C29" s="116">
        <f>C11+C12+C16+C23+C25</f>
        <v>3100</v>
      </c>
      <c r="D29" s="116">
        <f t="shared" ref="D29:F29" si="1">D11+D12+D16+D23+D25</f>
        <v>3787</v>
      </c>
      <c r="E29" s="116">
        <f t="shared" si="1"/>
        <v>0</v>
      </c>
      <c r="F29" s="116">
        <f t="shared" si="1"/>
        <v>3787</v>
      </c>
    </row>
    <row r="30" spans="1:8" ht="15" customHeight="1" x14ac:dyDescent="0.3">
      <c r="A30" s="114"/>
      <c r="B30" s="115" t="s">
        <v>72</v>
      </c>
      <c r="C30" s="116">
        <f>C24+C28</f>
        <v>0</v>
      </c>
      <c r="D30" s="116">
        <f t="shared" ref="D30:F30" si="2">D24+D28</f>
        <v>0</v>
      </c>
      <c r="E30" s="116">
        <f t="shared" si="2"/>
        <v>0</v>
      </c>
      <c r="F30" s="116">
        <f t="shared" si="2"/>
        <v>0</v>
      </c>
    </row>
    <row r="31" spans="1:8" ht="15" customHeight="1" x14ac:dyDescent="0.3">
      <c r="A31" s="105" t="s">
        <v>297</v>
      </c>
      <c r="B31" s="100" t="s">
        <v>296</v>
      </c>
      <c r="C31" s="109">
        <f>SUM(C29:C30)</f>
        <v>3100</v>
      </c>
      <c r="D31" s="109">
        <f t="shared" ref="D31:F31" si="3">SUM(D29:D30)</f>
        <v>3787</v>
      </c>
      <c r="E31" s="109">
        <f t="shared" si="3"/>
        <v>0</v>
      </c>
      <c r="F31" s="109">
        <f t="shared" si="3"/>
        <v>3787</v>
      </c>
      <c r="H31" s="110"/>
    </row>
    <row r="32" spans="1:8" ht="15" customHeight="1" x14ac:dyDescent="0.3">
      <c r="A32" s="118"/>
      <c r="B32" s="119" t="s">
        <v>298</v>
      </c>
      <c r="C32" s="120">
        <f t="shared" ref="C32:C33" si="4">C29-C59</f>
        <v>-37063</v>
      </c>
      <c r="D32" s="120">
        <f t="shared" ref="D32:F32" si="5">D29-D59</f>
        <v>-43778</v>
      </c>
      <c r="E32" s="120">
        <f t="shared" si="5"/>
        <v>0</v>
      </c>
      <c r="F32" s="120">
        <f t="shared" si="5"/>
        <v>-43778</v>
      </c>
    </row>
    <row r="33" spans="1:7" ht="15" customHeight="1" x14ac:dyDescent="0.3">
      <c r="A33" s="118"/>
      <c r="B33" s="119" t="s">
        <v>299</v>
      </c>
      <c r="C33" s="120">
        <f t="shared" si="4"/>
        <v>-127</v>
      </c>
      <c r="D33" s="120">
        <f t="shared" ref="D33:F33" si="6">D30-D60</f>
        <v>-127</v>
      </c>
      <c r="E33" s="120">
        <f t="shared" si="6"/>
        <v>0</v>
      </c>
      <c r="F33" s="120">
        <f t="shared" si="6"/>
        <v>-127</v>
      </c>
    </row>
    <row r="34" spans="1:7" ht="15" customHeight="1" x14ac:dyDescent="0.3">
      <c r="A34" s="107" t="s">
        <v>303</v>
      </c>
      <c r="B34" s="95" t="s">
        <v>302</v>
      </c>
      <c r="C34" s="112"/>
      <c r="D34" s="112">
        <v>0</v>
      </c>
      <c r="E34" s="112">
        <v>0</v>
      </c>
      <c r="F34" s="113">
        <f t="shared" si="0"/>
        <v>0</v>
      </c>
    </row>
    <row r="35" spans="1:7" ht="15" customHeight="1" x14ac:dyDescent="0.3">
      <c r="A35" s="107" t="s">
        <v>305</v>
      </c>
      <c r="B35" s="103" t="s">
        <v>304</v>
      </c>
      <c r="C35" s="112"/>
      <c r="D35" s="112"/>
      <c r="E35" s="112">
        <v>0</v>
      </c>
      <c r="F35" s="113">
        <f t="shared" si="0"/>
        <v>0</v>
      </c>
    </row>
    <row r="36" spans="1:7" ht="30.75" customHeight="1" x14ac:dyDescent="0.3">
      <c r="A36" s="107" t="s">
        <v>305</v>
      </c>
      <c r="B36" s="103" t="s">
        <v>306</v>
      </c>
      <c r="C36" s="112"/>
      <c r="D36" s="112">
        <v>0</v>
      </c>
      <c r="E36" s="112">
        <v>0</v>
      </c>
      <c r="F36" s="113">
        <f t="shared" si="0"/>
        <v>0</v>
      </c>
    </row>
    <row r="37" spans="1:7" s="48" customFormat="1" ht="15" customHeight="1" x14ac:dyDescent="0.3">
      <c r="A37" s="107" t="s">
        <v>308</v>
      </c>
      <c r="B37" s="103" t="s">
        <v>307</v>
      </c>
      <c r="C37" s="112"/>
      <c r="D37" s="112"/>
      <c r="E37" s="112">
        <v>0</v>
      </c>
      <c r="F37" s="113">
        <f t="shared" si="0"/>
        <v>0</v>
      </c>
    </row>
    <row r="38" spans="1:7" ht="15" customHeight="1" x14ac:dyDescent="0.3">
      <c r="A38" s="122" t="s">
        <v>310</v>
      </c>
      <c r="B38" s="103" t="s">
        <v>309</v>
      </c>
      <c r="C38" s="112">
        <f>'3. Gesz költségvetés'!K33</f>
        <v>37190</v>
      </c>
      <c r="D38" s="112">
        <f>'3. Gesz költségvetés'!L33</f>
        <v>43905</v>
      </c>
      <c r="E38" s="112">
        <v>0</v>
      </c>
      <c r="F38" s="113">
        <f t="shared" si="0"/>
        <v>43905</v>
      </c>
    </row>
    <row r="39" spans="1:7" ht="15" customHeight="1" x14ac:dyDescent="0.3">
      <c r="A39" s="130" t="s">
        <v>318</v>
      </c>
      <c r="B39" s="129" t="s">
        <v>317</v>
      </c>
      <c r="C39" s="109">
        <f>SUM(C34:C38)</f>
        <v>37190</v>
      </c>
      <c r="D39" s="109">
        <f t="shared" ref="D39:F39" si="7">SUM(D34:D38)</f>
        <v>43905</v>
      </c>
      <c r="E39" s="109">
        <f t="shared" si="7"/>
        <v>0</v>
      </c>
      <c r="F39" s="109">
        <f t="shared" si="7"/>
        <v>43905</v>
      </c>
    </row>
    <row r="40" spans="1:7" ht="17.399999999999999" thickBot="1" x14ac:dyDescent="0.35">
      <c r="A40" s="140"/>
      <c r="B40" s="141" t="s">
        <v>234</v>
      </c>
      <c r="C40" s="1327">
        <f>C31+C38</f>
        <v>40290</v>
      </c>
      <c r="D40" s="1327">
        <f t="shared" ref="D40:F40" si="8">D31+D38</f>
        <v>47692</v>
      </c>
      <c r="E40" s="1327">
        <f t="shared" si="8"/>
        <v>0</v>
      </c>
      <c r="F40" s="1327">
        <f t="shared" si="8"/>
        <v>47692</v>
      </c>
      <c r="G40" s="449"/>
    </row>
    <row r="41" spans="1:7" ht="15" customHeight="1" thickBot="1" x14ac:dyDescent="0.35">
      <c r="A41" s="681"/>
      <c r="B41" s="681"/>
      <c r="C41" s="1330"/>
      <c r="D41" s="1330"/>
      <c r="E41" s="1330"/>
      <c r="F41" s="1330"/>
    </row>
    <row r="42" spans="1:7" ht="18.75" customHeight="1" x14ac:dyDescent="0.25">
      <c r="A42" s="1834" t="s">
        <v>242</v>
      </c>
      <c r="B42" s="1836" t="s">
        <v>554</v>
      </c>
      <c r="C42" s="1331" t="s">
        <v>730</v>
      </c>
      <c r="D42" s="1845" t="s">
        <v>823</v>
      </c>
      <c r="E42" s="1846"/>
      <c r="F42" s="1847"/>
    </row>
    <row r="43" spans="1:7" ht="50.4" x14ac:dyDescent="0.25">
      <c r="A43" s="1835"/>
      <c r="B43" s="1837"/>
      <c r="C43" s="1328" t="s">
        <v>117</v>
      </c>
      <c r="D43" s="917" t="s">
        <v>117</v>
      </c>
      <c r="E43" s="917" t="s">
        <v>118</v>
      </c>
      <c r="F43" s="939" t="s">
        <v>243</v>
      </c>
    </row>
    <row r="44" spans="1:7" ht="15" customHeight="1" x14ac:dyDescent="0.3">
      <c r="A44" s="91" t="s">
        <v>166</v>
      </c>
      <c r="B44" s="92" t="s">
        <v>167</v>
      </c>
      <c r="C44" s="1329">
        <f>'3. Gesz költségvetés'!K39</f>
        <v>30739</v>
      </c>
      <c r="D44" s="112">
        <f>'3. Gesz költségvetés'!L36</f>
        <v>37687</v>
      </c>
      <c r="E44" s="112"/>
      <c r="F44" s="113">
        <f>D44+E44</f>
        <v>37687</v>
      </c>
    </row>
    <row r="45" spans="1:7" ht="15" customHeight="1" x14ac:dyDescent="0.3">
      <c r="A45" s="91" t="s">
        <v>168</v>
      </c>
      <c r="B45" s="103" t="s">
        <v>169</v>
      </c>
      <c r="C45" s="112">
        <f>'3. Gesz költségvetés'!K40</f>
        <v>5557</v>
      </c>
      <c r="D45" s="112">
        <f>'3. Gesz költségvetés'!L40</f>
        <v>5908</v>
      </c>
      <c r="E45" s="112"/>
      <c r="F45" s="113">
        <f>D45+E45</f>
        <v>5908</v>
      </c>
    </row>
    <row r="46" spans="1:7" ht="15" customHeight="1" x14ac:dyDescent="0.3">
      <c r="A46" s="91" t="s">
        <v>170</v>
      </c>
      <c r="B46" s="103" t="s">
        <v>171</v>
      </c>
      <c r="C46" s="112">
        <f>'3. Gesz költségvetés'!K41</f>
        <v>3867</v>
      </c>
      <c r="D46" s="112">
        <f>'3. Gesz költségvetés'!L41</f>
        <v>3970</v>
      </c>
      <c r="E46" s="112"/>
      <c r="F46" s="113">
        <f t="shared" ref="F46:F63" si="9">D46+E46</f>
        <v>3970</v>
      </c>
    </row>
    <row r="47" spans="1:7" ht="15" customHeight="1" x14ac:dyDescent="0.3">
      <c r="A47" s="91" t="s">
        <v>172</v>
      </c>
      <c r="B47" s="95" t="s">
        <v>23</v>
      </c>
      <c r="C47" s="112"/>
      <c r="D47" s="112"/>
      <c r="E47" s="112"/>
      <c r="F47" s="113">
        <f t="shared" si="9"/>
        <v>0</v>
      </c>
    </row>
    <row r="48" spans="1:7" ht="15" customHeight="1" x14ac:dyDescent="0.3">
      <c r="A48" s="91" t="s">
        <v>173</v>
      </c>
      <c r="B48" s="96" t="s">
        <v>174</v>
      </c>
      <c r="C48" s="112"/>
      <c r="D48" s="112"/>
      <c r="E48" s="112"/>
      <c r="F48" s="113">
        <f t="shared" si="9"/>
        <v>0</v>
      </c>
    </row>
    <row r="49" spans="1:6" ht="15" customHeight="1" x14ac:dyDescent="0.3">
      <c r="A49" s="91" t="s">
        <v>176</v>
      </c>
      <c r="B49" s="96" t="s">
        <v>175</v>
      </c>
      <c r="C49" s="112"/>
      <c r="D49" s="112"/>
      <c r="E49" s="112"/>
      <c r="F49" s="113">
        <f t="shared" si="9"/>
        <v>0</v>
      </c>
    </row>
    <row r="50" spans="1:6" ht="15" customHeight="1" x14ac:dyDescent="0.3">
      <c r="A50" s="91" t="s">
        <v>544</v>
      </c>
      <c r="B50" s="97" t="s">
        <v>177</v>
      </c>
      <c r="C50" s="112"/>
      <c r="D50" s="112"/>
      <c r="E50" s="112"/>
      <c r="F50" s="113">
        <f t="shared" si="9"/>
        <v>0</v>
      </c>
    </row>
    <row r="51" spans="1:6" ht="15" customHeight="1" x14ac:dyDescent="0.3">
      <c r="A51" s="91" t="s">
        <v>544</v>
      </c>
      <c r="B51" s="97" t="s">
        <v>121</v>
      </c>
      <c r="C51" s="112"/>
      <c r="D51" s="112"/>
      <c r="E51" s="112"/>
      <c r="F51" s="113">
        <f t="shared" si="9"/>
        <v>0</v>
      </c>
    </row>
    <row r="52" spans="1:6" ht="15" customHeight="1" x14ac:dyDescent="0.3">
      <c r="A52" s="91" t="s">
        <v>544</v>
      </c>
      <c r="B52" s="97" t="s">
        <v>178</v>
      </c>
      <c r="C52" s="112"/>
      <c r="D52" s="112"/>
      <c r="E52" s="112"/>
      <c r="F52" s="113">
        <f t="shared" si="9"/>
        <v>0</v>
      </c>
    </row>
    <row r="53" spans="1:6" ht="15" customHeight="1" x14ac:dyDescent="0.3">
      <c r="A53" s="91" t="s">
        <v>179</v>
      </c>
      <c r="B53" s="95" t="s">
        <v>180</v>
      </c>
      <c r="C53" s="112"/>
      <c r="D53" s="112"/>
      <c r="E53" s="112"/>
      <c r="F53" s="113">
        <f t="shared" si="9"/>
        <v>0</v>
      </c>
    </row>
    <row r="54" spans="1:6" ht="15" customHeight="1" x14ac:dyDescent="0.3">
      <c r="A54" s="91" t="s">
        <v>181</v>
      </c>
      <c r="B54" s="123" t="s">
        <v>321</v>
      </c>
      <c r="C54" s="112">
        <f>'3. Gesz költségvetés'!K49</f>
        <v>127</v>
      </c>
      <c r="D54" s="112">
        <f>'3. Gesz költségvetés'!L49</f>
        <v>127</v>
      </c>
      <c r="E54" s="112"/>
      <c r="F54" s="113">
        <f t="shared" si="9"/>
        <v>127</v>
      </c>
    </row>
    <row r="55" spans="1:6" ht="15" customHeight="1" x14ac:dyDescent="0.3">
      <c r="A55" s="91" t="s">
        <v>182</v>
      </c>
      <c r="B55" s="95" t="s">
        <v>183</v>
      </c>
      <c r="C55" s="112"/>
      <c r="D55" s="112"/>
      <c r="E55" s="112"/>
      <c r="F55" s="113">
        <f t="shared" si="9"/>
        <v>0</v>
      </c>
    </row>
    <row r="56" spans="1:6" ht="15" customHeight="1" x14ac:dyDescent="0.3">
      <c r="A56" s="91" t="s">
        <v>141</v>
      </c>
      <c r="B56" s="95" t="s">
        <v>120</v>
      </c>
      <c r="C56" s="112"/>
      <c r="D56" s="112"/>
      <c r="E56" s="112"/>
      <c r="F56" s="113">
        <f t="shared" si="9"/>
        <v>0</v>
      </c>
    </row>
    <row r="57" spans="1:6" ht="15" customHeight="1" x14ac:dyDescent="0.3">
      <c r="A57" s="91" t="s">
        <v>184</v>
      </c>
      <c r="B57" s="95" t="s">
        <v>185</v>
      </c>
      <c r="C57" s="112"/>
      <c r="D57" s="112"/>
      <c r="E57" s="112"/>
      <c r="F57" s="113">
        <f t="shared" si="9"/>
        <v>0</v>
      </c>
    </row>
    <row r="58" spans="1:6" ht="15" customHeight="1" x14ac:dyDescent="0.3">
      <c r="A58" s="91" t="s">
        <v>186</v>
      </c>
      <c r="B58" s="95" t="s">
        <v>187</v>
      </c>
      <c r="C58" s="112"/>
      <c r="D58" s="112"/>
      <c r="E58" s="112"/>
      <c r="F58" s="113">
        <f t="shared" si="9"/>
        <v>0</v>
      </c>
    </row>
    <row r="59" spans="1:6" ht="15" customHeight="1" x14ac:dyDescent="0.3">
      <c r="A59" s="131"/>
      <c r="B59" s="128" t="s">
        <v>202</v>
      </c>
      <c r="C59" s="138">
        <f>SUM(C44:C53)</f>
        <v>40163</v>
      </c>
      <c r="D59" s="138">
        <f t="shared" ref="D59:F59" si="10">SUM(D44:D53)</f>
        <v>47565</v>
      </c>
      <c r="E59" s="138">
        <f t="shared" si="10"/>
        <v>0</v>
      </c>
      <c r="F59" s="138">
        <f t="shared" si="10"/>
        <v>47565</v>
      </c>
    </row>
    <row r="60" spans="1:6" ht="15" customHeight="1" x14ac:dyDescent="0.3">
      <c r="A60" s="131"/>
      <c r="B60" s="128" t="s">
        <v>203</v>
      </c>
      <c r="C60" s="138">
        <f>SUM(C54:C58)</f>
        <v>127</v>
      </c>
      <c r="D60" s="138">
        <f t="shared" ref="D60:F60" si="11">SUM(D54:D58)</f>
        <v>127</v>
      </c>
      <c r="E60" s="138">
        <f t="shared" si="11"/>
        <v>0</v>
      </c>
      <c r="F60" s="138">
        <f t="shared" si="11"/>
        <v>127</v>
      </c>
    </row>
    <row r="61" spans="1:6" ht="15" customHeight="1" x14ac:dyDescent="0.3">
      <c r="A61" s="105" t="s">
        <v>188</v>
      </c>
      <c r="B61" s="100" t="s">
        <v>189</v>
      </c>
      <c r="C61" s="109">
        <f>SUM(C59:C60)</f>
        <v>40290</v>
      </c>
      <c r="D61" s="109">
        <f t="shared" ref="D61:F61" si="12">SUM(D59:D60)</f>
        <v>47692</v>
      </c>
      <c r="E61" s="109">
        <f t="shared" si="12"/>
        <v>0</v>
      </c>
      <c r="F61" s="109">
        <f t="shared" si="12"/>
        <v>47692</v>
      </c>
    </row>
    <row r="62" spans="1:6" ht="15" customHeight="1" x14ac:dyDescent="0.3">
      <c r="A62" s="107" t="s">
        <v>190</v>
      </c>
      <c r="B62" s="95" t="s">
        <v>142</v>
      </c>
      <c r="C62" s="101"/>
      <c r="D62" s="101"/>
      <c r="E62" s="101"/>
      <c r="F62" s="113">
        <f t="shared" si="9"/>
        <v>0</v>
      </c>
    </row>
    <row r="63" spans="1:6" ht="15" customHeight="1" x14ac:dyDescent="0.3">
      <c r="A63" s="107" t="s">
        <v>204</v>
      </c>
      <c r="B63" s="95" t="s">
        <v>205</v>
      </c>
      <c r="C63" s="126"/>
      <c r="D63" s="126"/>
      <c r="E63" s="126"/>
      <c r="F63" s="113">
        <f t="shared" si="9"/>
        <v>0</v>
      </c>
    </row>
    <row r="64" spans="1:6" ht="15" customHeight="1" x14ac:dyDescent="0.3">
      <c r="A64" s="130" t="s">
        <v>200</v>
      </c>
      <c r="B64" s="129" t="s">
        <v>26</v>
      </c>
      <c r="C64" s="109">
        <f>SUM(C62:C63)</f>
        <v>0</v>
      </c>
      <c r="D64" s="109">
        <f t="shared" ref="D64:F64" si="13">SUM(D62:D63)</f>
        <v>0</v>
      </c>
      <c r="E64" s="109">
        <f t="shared" si="13"/>
        <v>0</v>
      </c>
      <c r="F64" s="109">
        <f t="shared" si="13"/>
        <v>0</v>
      </c>
    </row>
    <row r="65" spans="1:6" ht="17.399999999999999" thickBot="1" x14ac:dyDescent="0.35">
      <c r="A65" s="140"/>
      <c r="B65" s="141" t="s">
        <v>224</v>
      </c>
      <c r="C65" s="144">
        <f>C61+C64</f>
        <v>40290</v>
      </c>
      <c r="D65" s="144">
        <f t="shared" ref="D65:F65" si="14">D61+D64</f>
        <v>47692</v>
      </c>
      <c r="E65" s="144">
        <f t="shared" si="14"/>
        <v>0</v>
      </c>
      <c r="F65" s="144">
        <f t="shared" si="14"/>
        <v>47692</v>
      </c>
    </row>
    <row r="66" spans="1:6" ht="15" hidden="1" customHeight="1" x14ac:dyDescent="0.25"/>
    <row r="67" spans="1:6" ht="15" hidden="1" customHeight="1" x14ac:dyDescent="0.25">
      <c r="F67" s="449">
        <f>F40-F65</f>
        <v>0</v>
      </c>
    </row>
    <row r="68" spans="1:6" ht="15" hidden="1" customHeight="1" x14ac:dyDescent="0.25">
      <c r="F68" s="449"/>
    </row>
    <row r="69" spans="1:6" ht="15" hidden="1" customHeight="1" x14ac:dyDescent="0.25"/>
    <row r="70" spans="1:6" ht="15" hidden="1" customHeight="1" x14ac:dyDescent="0.25"/>
    <row r="71" spans="1:6" ht="15" hidden="1" customHeight="1" x14ac:dyDescent="0.25"/>
    <row r="72" spans="1:6" ht="15" hidden="1" customHeight="1" x14ac:dyDescent="0.25"/>
    <row r="73" spans="1:6" ht="15" hidden="1" customHeight="1" x14ac:dyDescent="0.25"/>
    <row r="74" spans="1:6" ht="15" hidden="1" customHeight="1" x14ac:dyDescent="0.25"/>
    <row r="75" spans="1:6" ht="15" hidden="1" customHeight="1" x14ac:dyDescent="0.25"/>
    <row r="76" spans="1:6" ht="15" hidden="1" customHeight="1" x14ac:dyDescent="0.25"/>
    <row r="77" spans="1:6" ht="15" hidden="1" customHeight="1" x14ac:dyDescent="0.25"/>
    <row r="78" spans="1:6" ht="15" hidden="1" customHeight="1" x14ac:dyDescent="0.25"/>
    <row r="79" spans="1:6" ht="15" hidden="1" customHeight="1" x14ac:dyDescent="0.25"/>
    <row r="80" spans="1:6" ht="15" hidden="1" customHeight="1" x14ac:dyDescent="0.25"/>
  </sheetData>
  <mergeCells count="10">
    <mergeCell ref="A42:A43"/>
    <mergeCell ref="B42:B43"/>
    <mergeCell ref="D42:F42"/>
    <mergeCell ref="A1:F1"/>
    <mergeCell ref="A2:F2"/>
    <mergeCell ref="A4:F4"/>
    <mergeCell ref="A7:A8"/>
    <mergeCell ref="B7:B8"/>
    <mergeCell ref="C7:C8"/>
    <mergeCell ref="D7:F7"/>
  </mergeCells>
  <pageMargins left="0.75" right="0.75" top="0.28999999999999998" bottom="0.4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6">
    <tabColor rgb="FF92D050"/>
    <pageSetUpPr fitToPage="1"/>
  </sheetPr>
  <dimension ref="A1:IQ59"/>
  <sheetViews>
    <sheetView view="pageBreakPreview" topLeftCell="A13" zoomScale="70" zoomScaleSheetLayoutView="70" workbookViewId="0">
      <selection activeCell="B14" sqref="B14"/>
    </sheetView>
  </sheetViews>
  <sheetFormatPr defaultColWidth="16.44140625" defaultRowHeight="18" x14ac:dyDescent="0.35"/>
  <cols>
    <col min="1" max="1" width="13.5546875" style="326" bestFit="1" customWidth="1"/>
    <col min="2" max="2" width="95" style="326" customWidth="1"/>
    <col min="3" max="3" width="21.5546875" style="326" hidden="1" customWidth="1"/>
    <col min="4" max="5" width="21.109375" style="326" customWidth="1"/>
    <col min="6" max="6" width="20.6640625" style="326" hidden="1" customWidth="1"/>
    <col min="7" max="7" width="19" style="326" customWidth="1"/>
    <col min="8" max="8" width="18.6640625" style="326" customWidth="1"/>
    <col min="9" max="9" width="19.33203125" style="326" hidden="1" customWidth="1"/>
    <col min="10" max="10" width="19.88671875" style="326" hidden="1" customWidth="1"/>
    <col min="11" max="11" width="17.88671875" style="326" customWidth="1"/>
    <col min="12" max="12" width="17.5546875" style="326" customWidth="1"/>
    <col min="13" max="13" width="19.88671875" style="326" hidden="1" customWidth="1"/>
    <col min="14" max="14" width="23" style="326" bestFit="1" customWidth="1"/>
    <col min="15" max="15" width="20.33203125" style="326" customWidth="1"/>
    <col min="16" max="16" width="16.5546875" style="326" hidden="1" customWidth="1"/>
    <col min="17" max="17" width="19.109375" style="326" customWidth="1"/>
    <col min="18" max="18" width="21.44140625" style="326" customWidth="1"/>
    <col min="19" max="28" width="9.109375" style="326" hidden="1" customWidth="1"/>
    <col min="29" max="254" width="9.109375" style="326" customWidth="1"/>
    <col min="255" max="255" width="92.5546875" style="326" customWidth="1"/>
    <col min="256" max="256" width="9.109375" style="326" customWidth="1"/>
    <col min="257" max="16384" width="16.44140625" style="326"/>
  </cols>
  <sheetData>
    <row r="1" spans="1:19" ht="42" customHeight="1" x14ac:dyDescent="0.5">
      <c r="A1" s="1854" t="str">
        <f>Tartalomjegyzék_2021!A1</f>
        <v>Pilisvörösvár Város Önkormányzata Képviselő-testületének 1/2021. (II. 15.) önkormányzati rendelete</v>
      </c>
      <c r="B1" s="1855"/>
      <c r="C1" s="1855"/>
      <c r="D1" s="1855"/>
      <c r="E1" s="1855"/>
      <c r="F1" s="1855"/>
      <c r="G1" s="1855"/>
      <c r="H1" s="1855"/>
      <c r="I1" s="1855"/>
      <c r="J1" s="1855"/>
      <c r="K1" s="1855"/>
      <c r="L1" s="1855"/>
      <c r="M1" s="1855"/>
      <c r="N1" s="1855"/>
      <c r="O1" s="1855"/>
      <c r="P1" s="1855"/>
      <c r="Q1" s="1855"/>
      <c r="R1" s="1831"/>
      <c r="S1" s="1362" t="s">
        <v>758</v>
      </c>
    </row>
    <row r="2" spans="1:19" ht="24" customHeight="1" x14ac:dyDescent="0.5">
      <c r="A2" s="1854" t="str">
        <f>'11. Bölcsöde'!A2:F2</f>
        <v>az Önkormányzat  2021. évi költségvetéséről</v>
      </c>
      <c r="B2" s="1855" t="s">
        <v>116</v>
      </c>
      <c r="C2" s="1855"/>
      <c r="D2" s="1855"/>
      <c r="E2" s="1855"/>
      <c r="F2" s="1855"/>
      <c r="G2" s="1855"/>
      <c r="H2" s="1855"/>
      <c r="I2" s="1855"/>
      <c r="J2" s="1855"/>
      <c r="K2" s="1855"/>
      <c r="L2" s="1855"/>
      <c r="M2" s="1855"/>
      <c r="N2" s="1855"/>
      <c r="O2" s="1855"/>
      <c r="P2" s="1855"/>
      <c r="Q2" s="1855"/>
      <c r="R2" s="1831"/>
    </row>
    <row r="3" spans="1:19" ht="23.25" customHeight="1" x14ac:dyDescent="0.5">
      <c r="A3" s="1854" t="str">
        <f>Tartalomjegyzék_2021!B19</f>
        <v>Pilisvörösvár Város Önkormányzata működési és felhalmozási bevételei</v>
      </c>
      <c r="B3" s="1855" t="s">
        <v>240</v>
      </c>
      <c r="C3" s="1855"/>
      <c r="D3" s="1855"/>
      <c r="E3" s="1855"/>
      <c r="F3" s="1855"/>
      <c r="G3" s="1855"/>
      <c r="H3" s="1855"/>
      <c r="I3" s="1855"/>
      <c r="J3" s="1855"/>
      <c r="K3" s="1855"/>
      <c r="L3" s="1855"/>
      <c r="M3" s="1855"/>
      <c r="N3" s="1855"/>
      <c r="O3" s="1855"/>
      <c r="P3" s="1855"/>
      <c r="Q3" s="1855"/>
      <c r="R3" s="1831"/>
    </row>
    <row r="4" spans="1:19" ht="23.25" customHeight="1" x14ac:dyDescent="0.5">
      <c r="A4" s="684"/>
      <c r="B4" s="685"/>
      <c r="C4" s="685"/>
      <c r="D4" s="685"/>
      <c r="E4" s="753"/>
      <c r="F4" s="685"/>
      <c r="G4" s="685"/>
      <c r="H4" s="753"/>
      <c r="I4" s="685"/>
      <c r="J4" s="685"/>
      <c r="K4" s="685"/>
      <c r="L4" s="753"/>
      <c r="M4" s="685"/>
      <c r="N4" s="685"/>
      <c r="O4" s="753"/>
      <c r="P4" s="685"/>
      <c r="R4" s="686" t="s">
        <v>564</v>
      </c>
    </row>
    <row r="5" spans="1:19" ht="24" customHeight="1" x14ac:dyDescent="0.45">
      <c r="B5" s="327"/>
      <c r="R5" s="686"/>
    </row>
    <row r="6" spans="1:19" ht="25.8" thickBot="1" x14ac:dyDescent="0.5">
      <c r="R6" s="686" t="s">
        <v>201</v>
      </c>
    </row>
    <row r="7" spans="1:19" s="1191" customFormat="1" ht="129.75" customHeight="1" x14ac:dyDescent="0.3">
      <c r="A7" s="639" t="s">
        <v>242</v>
      </c>
      <c r="B7" s="640" t="s">
        <v>241</v>
      </c>
      <c r="C7" s="1186" t="s">
        <v>458</v>
      </c>
      <c r="D7" s="1186" t="str">
        <f>'2.Bevételek_részletes'!C7</f>
        <v>Önkormányzat 2020. évi eredeti előirányzat</v>
      </c>
      <c r="E7" s="1186" t="str">
        <f>'2.Bevételek_részletes'!D7</f>
        <v>Önkormányzat 2021. évi eredeti előirányzat</v>
      </c>
      <c r="F7" s="1187" t="s">
        <v>459</v>
      </c>
      <c r="G7" s="1188" t="str">
        <f>'2.Bevételek_részletes'!E7</f>
        <v>Polgármesteri Hivatal 2020. évi eredeti előirányzat</v>
      </c>
      <c r="H7" s="1189" t="str">
        <f>'2.Bevételek_részletes'!F7</f>
        <v>Polgármesteri Hivatal 2021. évi eredeti előirányzat</v>
      </c>
      <c r="I7" s="1190" t="s">
        <v>460</v>
      </c>
      <c r="J7" s="1187" t="s">
        <v>461</v>
      </c>
      <c r="K7" s="1188" t="str">
        <f>'2.Bevételek_részletes'!G7</f>
        <v>Önkormányzati intézmények   2020. évi eredeti előirányzat</v>
      </c>
      <c r="L7" s="1189" t="str">
        <f>'2.Bevételek_részletes'!H7</f>
        <v>Önkormányzati intézmények   2021. évi eredeti előirányzat</v>
      </c>
      <c r="M7" s="1190" t="s">
        <v>456</v>
      </c>
      <c r="N7" s="1186" t="str">
        <f>'2.Bevételek_részletes'!I7</f>
        <v>2020. évi             Eredeti előirányzat Összesen</v>
      </c>
      <c r="O7" s="1189" t="str">
        <f>'2.Bevételek_részletes'!J7</f>
        <v>2021. évi             Eredeti előirányzat Összesen</v>
      </c>
      <c r="P7" s="1190" t="s">
        <v>457</v>
      </c>
      <c r="Q7" s="1186" t="str">
        <f>'2.Bevételek_részletes'!K7</f>
        <v>2020. évi            Konszolidált eredeti előirányzat</v>
      </c>
      <c r="R7" s="1189" t="str">
        <f>'2.Bevételek_részletes'!L7</f>
        <v>2021. évi            Konszolidált eredeti előirányzat</v>
      </c>
    </row>
    <row r="8" spans="1:19" s="1315" customFormat="1" ht="24.75" customHeight="1" x14ac:dyDescent="0.3">
      <c r="A8" s="641" t="s">
        <v>245</v>
      </c>
      <c r="B8" s="831" t="s">
        <v>244</v>
      </c>
      <c r="C8" s="1309">
        <v>106309</v>
      </c>
      <c r="D8" s="1309">
        <v>110024</v>
      </c>
      <c r="E8" s="1309">
        <v>304142</v>
      </c>
      <c r="F8" s="1332"/>
      <c r="G8" s="1333"/>
      <c r="H8" s="1314"/>
      <c r="I8" s="1334"/>
      <c r="J8" s="1332"/>
      <c r="K8" s="1333"/>
      <c r="L8" s="1314"/>
      <c r="M8" s="1334">
        <f>C8+F8+I8+J8</f>
        <v>106309</v>
      </c>
      <c r="N8" s="1309">
        <f t="shared" ref="N8:O12" si="0">D8+G8+K8</f>
        <v>110024</v>
      </c>
      <c r="O8" s="1314">
        <f t="shared" si="0"/>
        <v>304142</v>
      </c>
      <c r="P8" s="1334">
        <f>C8+F8+I8+J8</f>
        <v>106309</v>
      </c>
      <c r="Q8" s="1309">
        <f t="shared" ref="Q8:R12" si="1">D8+G8+K8</f>
        <v>110024</v>
      </c>
      <c r="R8" s="1314">
        <f t="shared" si="1"/>
        <v>304142</v>
      </c>
    </row>
    <row r="9" spans="1:19" s="1315" customFormat="1" ht="24.75" customHeight="1" x14ac:dyDescent="0.3">
      <c r="A9" s="641" t="s">
        <v>247</v>
      </c>
      <c r="B9" s="832" t="s">
        <v>246</v>
      </c>
      <c r="C9" s="1309">
        <v>288189</v>
      </c>
      <c r="D9" s="1309">
        <v>342216</v>
      </c>
      <c r="E9" s="1309">
        <v>385020</v>
      </c>
      <c r="F9" s="1332"/>
      <c r="G9" s="1333"/>
      <c r="H9" s="1314"/>
      <c r="I9" s="1334"/>
      <c r="J9" s="1332"/>
      <c r="K9" s="1333"/>
      <c r="L9" s="1314"/>
      <c r="M9" s="1334">
        <f>C9+F9+I9+J9</f>
        <v>288189</v>
      </c>
      <c r="N9" s="1309">
        <f t="shared" si="0"/>
        <v>342216</v>
      </c>
      <c r="O9" s="1314">
        <f t="shared" si="0"/>
        <v>385020</v>
      </c>
      <c r="P9" s="1334">
        <f>C9+F9+I9+J9</f>
        <v>288189</v>
      </c>
      <c r="Q9" s="1309">
        <f t="shared" si="1"/>
        <v>342216</v>
      </c>
      <c r="R9" s="1314">
        <f t="shared" si="1"/>
        <v>385020</v>
      </c>
    </row>
    <row r="10" spans="1:19" s="1315" customFormat="1" ht="39.6" customHeight="1" x14ac:dyDescent="0.3">
      <c r="A10" s="641" t="s">
        <v>249</v>
      </c>
      <c r="B10" s="832" t="s">
        <v>248</v>
      </c>
      <c r="C10" s="1309">
        <v>178351</v>
      </c>
      <c r="D10" s="1309">
        <v>250518</v>
      </c>
      <c r="E10" s="1309">
        <f>239779+28144</f>
        <v>267923</v>
      </c>
      <c r="F10" s="1332"/>
      <c r="G10" s="1333"/>
      <c r="H10" s="1314"/>
      <c r="I10" s="1334"/>
      <c r="J10" s="1332"/>
      <c r="K10" s="1333"/>
      <c r="L10" s="1314"/>
      <c r="M10" s="1334">
        <f>C10+F10+I10+J10</f>
        <v>178351</v>
      </c>
      <c r="N10" s="1309">
        <f t="shared" si="0"/>
        <v>250518</v>
      </c>
      <c r="O10" s="1314">
        <f t="shared" si="0"/>
        <v>267923</v>
      </c>
      <c r="P10" s="1334">
        <f>C10+F10+I10+J10</f>
        <v>178351</v>
      </c>
      <c r="Q10" s="1309">
        <f t="shared" si="1"/>
        <v>250518</v>
      </c>
      <c r="R10" s="1314">
        <f t="shared" si="1"/>
        <v>267923</v>
      </c>
    </row>
    <row r="11" spans="1:19" s="1315" customFormat="1" ht="24.75" customHeight="1" x14ac:dyDescent="0.3">
      <c r="A11" s="641" t="s">
        <v>251</v>
      </c>
      <c r="B11" s="832" t="s">
        <v>250</v>
      </c>
      <c r="C11" s="1309">
        <v>16410</v>
      </c>
      <c r="D11" s="1309">
        <v>18375</v>
      </c>
      <c r="E11" s="1309">
        <v>31999</v>
      </c>
      <c r="F11" s="1332"/>
      <c r="G11" s="1333"/>
      <c r="H11" s="1314"/>
      <c r="I11" s="1334"/>
      <c r="J11" s="1332"/>
      <c r="K11" s="1333"/>
      <c r="L11" s="1314"/>
      <c r="M11" s="1334">
        <f>C11+F11+I11+J11</f>
        <v>16410</v>
      </c>
      <c r="N11" s="1309">
        <f t="shared" si="0"/>
        <v>18375</v>
      </c>
      <c r="O11" s="1314">
        <f t="shared" si="0"/>
        <v>31999</v>
      </c>
      <c r="P11" s="1334">
        <f>C11+F11+I11+J11</f>
        <v>16410</v>
      </c>
      <c r="Q11" s="1309">
        <f t="shared" si="1"/>
        <v>18375</v>
      </c>
      <c r="R11" s="1314">
        <f t="shared" si="1"/>
        <v>31999</v>
      </c>
    </row>
    <row r="12" spans="1:19" s="1315" customFormat="1" ht="42" x14ac:dyDescent="0.3">
      <c r="A12" s="641" t="s">
        <v>53</v>
      </c>
      <c r="B12" s="832" t="s">
        <v>54</v>
      </c>
      <c r="C12" s="1308"/>
      <c r="D12" s="1309">
        <v>0</v>
      </c>
      <c r="E12" s="1309"/>
      <c r="F12" s="1310"/>
      <c r="G12" s="1311"/>
      <c r="H12" s="1312"/>
      <c r="I12" s="1313"/>
      <c r="J12" s="1310"/>
      <c r="K12" s="1311"/>
      <c r="L12" s="1312"/>
      <c r="M12" s="1313">
        <f>C12+F12+I12+J12</f>
        <v>0</v>
      </c>
      <c r="N12" s="1309">
        <f t="shared" si="0"/>
        <v>0</v>
      </c>
      <c r="O12" s="1314">
        <f t="shared" si="0"/>
        <v>0</v>
      </c>
      <c r="P12" s="1313">
        <f>C12+F12+I12+J12</f>
        <v>0</v>
      </c>
      <c r="Q12" s="1309">
        <f t="shared" si="1"/>
        <v>0</v>
      </c>
      <c r="R12" s="1314">
        <f t="shared" si="1"/>
        <v>0</v>
      </c>
    </row>
    <row r="13" spans="1:19" s="1338" customFormat="1" ht="24.75" customHeight="1" x14ac:dyDescent="0.3">
      <c r="A13" s="642" t="s">
        <v>253</v>
      </c>
      <c r="B13" s="834" t="s">
        <v>252</v>
      </c>
      <c r="C13" s="1335">
        <f>SUM(C8:C12)+1</f>
        <v>589260</v>
      </c>
      <c r="D13" s="1335">
        <f>SUM(D8:D12)-2</f>
        <v>721131</v>
      </c>
      <c r="E13" s="1359">
        <f>SUM(E8:E12)</f>
        <v>989084</v>
      </c>
      <c r="F13" s="1358">
        <f t="shared" ref="F13:K13" si="2">SUM(F8:F12)</f>
        <v>0</v>
      </c>
      <c r="G13" s="1335">
        <f>SUM(G8:G12)</f>
        <v>0</v>
      </c>
      <c r="H13" s="1359">
        <f>SUM(H8:H12)</f>
        <v>0</v>
      </c>
      <c r="I13" s="1337">
        <f t="shared" si="2"/>
        <v>0</v>
      </c>
      <c r="J13" s="1336">
        <f>SUM(J8:J12)</f>
        <v>0</v>
      </c>
      <c r="K13" s="1335">
        <f t="shared" si="2"/>
        <v>0</v>
      </c>
      <c r="L13" s="1359">
        <f>SUM(L8:L12)</f>
        <v>0</v>
      </c>
      <c r="M13" s="1337">
        <f>SUM(M8:M12)+1</f>
        <v>589260</v>
      </c>
      <c r="N13" s="1335">
        <f>SUM(N8:N12)-2</f>
        <v>721131</v>
      </c>
      <c r="O13" s="1359">
        <f>SUM(O8:O12)</f>
        <v>989084</v>
      </c>
      <c r="P13" s="1337">
        <f>SUM(P8:P12)+1</f>
        <v>589260</v>
      </c>
      <c r="Q13" s="1335">
        <f>SUM(Q8:Q12)-2</f>
        <v>721131</v>
      </c>
      <c r="R13" s="1359">
        <f>SUM(R8:R12)</f>
        <v>989084</v>
      </c>
    </row>
    <row r="14" spans="1:19" s="1315" customFormat="1" ht="51.75" customHeight="1" x14ac:dyDescent="0.3">
      <c r="A14" s="643"/>
      <c r="B14" s="832" t="s">
        <v>573</v>
      </c>
      <c r="C14" s="1309"/>
      <c r="D14" s="1309"/>
      <c r="E14" s="1309"/>
      <c r="F14" s="1332"/>
      <c r="G14" s="1333"/>
      <c r="H14" s="1314"/>
      <c r="I14" s="1334"/>
      <c r="J14" s="1332"/>
      <c r="K14" s="1333"/>
      <c r="L14" s="1314"/>
      <c r="M14" s="1334"/>
      <c r="N14" s="1309">
        <f t="shared" ref="N14:O17" si="3">D14+G14+K14</f>
        <v>0</v>
      </c>
      <c r="O14" s="1314">
        <f t="shared" si="3"/>
        <v>0</v>
      </c>
      <c r="P14" s="1334"/>
      <c r="Q14" s="1309">
        <f t="shared" ref="Q14:R17" si="4">D14+G14+K14</f>
        <v>0</v>
      </c>
      <c r="R14" s="1314">
        <f t="shared" si="4"/>
        <v>0</v>
      </c>
    </row>
    <row r="15" spans="1:19" s="1315" customFormat="1" ht="48" customHeight="1" x14ac:dyDescent="0.3">
      <c r="A15" s="643"/>
      <c r="B15" s="832" t="s">
        <v>781</v>
      </c>
      <c r="C15" s="1309">
        <v>18748</v>
      </c>
      <c r="D15" s="1309">
        <f>D29*D28*D30*10*(1+D27/100)/2/1000+2500</f>
        <v>3577.7246875000001</v>
      </c>
      <c r="E15" s="1309">
        <v>0</v>
      </c>
      <c r="F15" s="1332"/>
      <c r="G15" s="1333"/>
      <c r="H15" s="1314"/>
      <c r="I15" s="1334"/>
      <c r="J15" s="1332"/>
      <c r="K15" s="1333"/>
      <c r="L15" s="1314"/>
      <c r="M15" s="1334">
        <f>C15+F15+I15+J15</f>
        <v>18748</v>
      </c>
      <c r="N15" s="1309">
        <f t="shared" si="3"/>
        <v>3577.7246875000001</v>
      </c>
      <c r="O15" s="1314">
        <f t="shared" si="3"/>
        <v>0</v>
      </c>
      <c r="P15" s="1334">
        <f>C15+F15+I15+J15</f>
        <v>18748</v>
      </c>
      <c r="Q15" s="1309">
        <f t="shared" si="4"/>
        <v>3577.7246875000001</v>
      </c>
      <c r="R15" s="1314">
        <f t="shared" si="4"/>
        <v>0</v>
      </c>
    </row>
    <row r="16" spans="1:19" s="1315" customFormat="1" ht="51.75" customHeight="1" x14ac:dyDescent="0.3">
      <c r="A16" s="643"/>
      <c r="B16" s="833" t="s">
        <v>626</v>
      </c>
      <c r="C16" s="1339"/>
      <c r="D16" s="1309"/>
      <c r="E16" s="1309"/>
      <c r="F16" s="1340"/>
      <c r="G16" s="1341"/>
      <c r="H16" s="1342"/>
      <c r="I16" s="1343">
        <v>256000</v>
      </c>
      <c r="J16" s="1340" t="e">
        <f>'2.Bevételek_részletes'!#REF!</f>
        <v>#REF!</v>
      </c>
      <c r="K16" s="1341">
        <f>'3. Gesz költségvetés'!M10</f>
        <v>342700</v>
      </c>
      <c r="L16" s="1342">
        <f>'3. Gesz költségvetés'!N10</f>
        <v>377682</v>
      </c>
      <c r="M16" s="1343" t="e">
        <f>C16+F16+I16+J16</f>
        <v>#REF!</v>
      </c>
      <c r="N16" s="1339">
        <f t="shared" si="3"/>
        <v>342700</v>
      </c>
      <c r="O16" s="1342">
        <f t="shared" si="3"/>
        <v>377682</v>
      </c>
      <c r="P16" s="1343" t="e">
        <f>C16+F16+I16+J16</f>
        <v>#REF!</v>
      </c>
      <c r="Q16" s="1339">
        <f t="shared" si="4"/>
        <v>342700</v>
      </c>
      <c r="R16" s="1342">
        <f t="shared" si="4"/>
        <v>377682</v>
      </c>
    </row>
    <row r="17" spans="1:251" s="1344" customFormat="1" ht="27.75" customHeight="1" x14ac:dyDescent="0.3">
      <c r="A17" s="779" t="s">
        <v>255</v>
      </c>
      <c r="B17" s="833" t="s">
        <v>254</v>
      </c>
      <c r="C17" s="1339">
        <f>SUM(C15:C16)</f>
        <v>18748</v>
      </c>
      <c r="D17" s="1339">
        <f>SUM(D14:D16)</f>
        <v>3577.7246875000001</v>
      </c>
      <c r="E17" s="1339">
        <v>150000</v>
      </c>
      <c r="F17" s="1340">
        <f t="shared" ref="F17:L17" si="5">SUM(F15:F16)</f>
        <v>0</v>
      </c>
      <c r="G17" s="1341">
        <f t="shared" si="5"/>
        <v>0</v>
      </c>
      <c r="H17" s="1342">
        <f t="shared" si="5"/>
        <v>0</v>
      </c>
      <c r="I17" s="1343">
        <f t="shared" si="5"/>
        <v>256000</v>
      </c>
      <c r="J17" s="1340" t="e">
        <f t="shared" si="5"/>
        <v>#REF!</v>
      </c>
      <c r="K17" s="1341">
        <f t="shared" si="5"/>
        <v>342700</v>
      </c>
      <c r="L17" s="1342">
        <f t="shared" si="5"/>
        <v>377682</v>
      </c>
      <c r="M17" s="1343" t="e">
        <f>C17+F17+I17+J17</f>
        <v>#REF!</v>
      </c>
      <c r="N17" s="1339">
        <f t="shared" si="3"/>
        <v>346277.72468749998</v>
      </c>
      <c r="O17" s="1342">
        <f t="shared" si="3"/>
        <v>527682</v>
      </c>
      <c r="P17" s="1343" t="e">
        <f>C17+F17+I17+J17</f>
        <v>#REF!</v>
      </c>
      <c r="Q17" s="1339">
        <f t="shared" si="4"/>
        <v>346277.72468749998</v>
      </c>
      <c r="R17" s="1342">
        <f>E17+H17+L17</f>
        <v>527682</v>
      </c>
    </row>
    <row r="18" spans="1:251" s="1338" customFormat="1" ht="24.75" customHeight="1" x14ac:dyDescent="0.3">
      <c r="A18" s="780" t="s">
        <v>257</v>
      </c>
      <c r="B18" s="835" t="s">
        <v>256</v>
      </c>
      <c r="C18" s="1345">
        <f t="shared" ref="C18:R18" si="6">C13+C17</f>
        <v>608008</v>
      </c>
      <c r="D18" s="1345">
        <f>D13+D17</f>
        <v>724708.72468750004</v>
      </c>
      <c r="E18" s="1345">
        <f>E13+E17</f>
        <v>1139084</v>
      </c>
      <c r="F18" s="1346">
        <f t="shared" si="6"/>
        <v>0</v>
      </c>
      <c r="G18" s="1347">
        <f t="shared" si="6"/>
        <v>0</v>
      </c>
      <c r="H18" s="1348">
        <f t="shared" si="6"/>
        <v>0</v>
      </c>
      <c r="I18" s="1349">
        <f t="shared" si="6"/>
        <v>256000</v>
      </c>
      <c r="J18" s="1346" t="e">
        <f t="shared" si="6"/>
        <v>#REF!</v>
      </c>
      <c r="K18" s="1347">
        <f t="shared" si="6"/>
        <v>342700</v>
      </c>
      <c r="L18" s="1348">
        <f t="shared" si="6"/>
        <v>377682</v>
      </c>
      <c r="M18" s="1349" t="e">
        <f t="shared" si="6"/>
        <v>#REF!</v>
      </c>
      <c r="N18" s="1345">
        <f t="shared" si="6"/>
        <v>1067408.7246874999</v>
      </c>
      <c r="O18" s="1348">
        <f t="shared" si="6"/>
        <v>1516766</v>
      </c>
      <c r="P18" s="1349" t="e">
        <f t="shared" si="6"/>
        <v>#REF!</v>
      </c>
      <c r="Q18" s="1345">
        <f t="shared" si="6"/>
        <v>1067408.7246874999</v>
      </c>
      <c r="R18" s="1348">
        <f t="shared" si="6"/>
        <v>1516766</v>
      </c>
    </row>
    <row r="19" spans="1:251" s="1315" customFormat="1" ht="24.75" customHeight="1" x14ac:dyDescent="0.3">
      <c r="A19" s="641" t="s">
        <v>259</v>
      </c>
      <c r="B19" s="832" t="s">
        <v>538</v>
      </c>
      <c r="C19" s="1309"/>
      <c r="D19" s="1309"/>
      <c r="E19" s="1309"/>
      <c r="F19" s="1332"/>
      <c r="G19" s="1333"/>
      <c r="H19" s="1314"/>
      <c r="I19" s="1334"/>
      <c r="J19" s="1332"/>
      <c r="K19" s="1333"/>
      <c r="L19" s="1314"/>
      <c r="M19" s="1334">
        <f>C19+F19+I19+J19</f>
        <v>0</v>
      </c>
      <c r="N19" s="1309">
        <f>D19+G19+K19</f>
        <v>0</v>
      </c>
      <c r="O19" s="1314">
        <f>E19+H19+L19</f>
        <v>0</v>
      </c>
      <c r="P19" s="1334">
        <f>C19+F19+I19+J19</f>
        <v>0</v>
      </c>
      <c r="Q19" s="1309">
        <f>D19+G19+K19</f>
        <v>0</v>
      </c>
      <c r="R19" s="1314">
        <f>E19+H19+L19</f>
        <v>0</v>
      </c>
    </row>
    <row r="20" spans="1:251" s="1338" customFormat="1" ht="24.75" customHeight="1" x14ac:dyDescent="0.3">
      <c r="A20" s="641" t="s">
        <v>259</v>
      </c>
      <c r="B20" s="832" t="s">
        <v>258</v>
      </c>
      <c r="C20" s="1309"/>
      <c r="D20" s="1309"/>
      <c r="E20" s="1309"/>
      <c r="F20" s="1332"/>
      <c r="G20" s="1333"/>
      <c r="H20" s="1314"/>
      <c r="I20" s="1334"/>
      <c r="J20" s="1332"/>
      <c r="K20" s="1333"/>
      <c r="L20" s="1314"/>
      <c r="M20" s="1334"/>
      <c r="N20" s="1309">
        <f>D20+G20+K20</f>
        <v>0</v>
      </c>
      <c r="O20" s="1314">
        <f>E20+H20+L20</f>
        <v>0</v>
      </c>
      <c r="P20" s="1334">
        <f>C20+F20+I20+J20</f>
        <v>0</v>
      </c>
      <c r="Q20" s="1309">
        <f>D20+G20+K20</f>
        <v>0</v>
      </c>
      <c r="R20" s="1314">
        <f>E20+H20+L20</f>
        <v>0</v>
      </c>
    </row>
    <row r="21" spans="1:251" s="1351" customFormat="1" ht="24.75" customHeight="1" x14ac:dyDescent="0.3">
      <c r="A21" s="780" t="s">
        <v>261</v>
      </c>
      <c r="B21" s="835" t="s">
        <v>260</v>
      </c>
      <c r="C21" s="1345">
        <f t="shared" ref="C21:I21" si="7">SUM(C19:C19)</f>
        <v>0</v>
      </c>
      <c r="D21" s="1345">
        <f>SUM(D19:D19)</f>
        <v>0</v>
      </c>
      <c r="E21" s="1345">
        <f>SUM(E19:E19)</f>
        <v>0</v>
      </c>
      <c r="F21" s="1346">
        <f t="shared" si="7"/>
        <v>0</v>
      </c>
      <c r="G21" s="1347">
        <f>SUM(G19:G19)</f>
        <v>0</v>
      </c>
      <c r="H21" s="1348">
        <f>SUM(H19:H19)</f>
        <v>0</v>
      </c>
      <c r="I21" s="1349">
        <f t="shared" si="7"/>
        <v>0</v>
      </c>
      <c r="J21" s="1346">
        <f>SUM(J19:J19)</f>
        <v>0</v>
      </c>
      <c r="K21" s="1347">
        <f>SUM(K19:K19)</f>
        <v>0</v>
      </c>
      <c r="L21" s="1348">
        <f>SUM(L19:L19)</f>
        <v>0</v>
      </c>
      <c r="M21" s="1349">
        <f>SUM(M19:M19)</f>
        <v>0</v>
      </c>
      <c r="N21" s="1345">
        <f>SUM(N19:N20)</f>
        <v>0</v>
      </c>
      <c r="O21" s="1348">
        <f>SUM(O19:O20)</f>
        <v>0</v>
      </c>
      <c r="P21" s="1349">
        <f>SUM(P19:P20)</f>
        <v>0</v>
      </c>
      <c r="Q21" s="1345">
        <f>SUM(Q19:Q20)</f>
        <v>0</v>
      </c>
      <c r="R21" s="1348">
        <f>SUM(R19:R20)</f>
        <v>0</v>
      </c>
      <c r="S21" s="1350"/>
      <c r="T21" s="1350"/>
      <c r="U21" s="1350"/>
      <c r="V21" s="1350"/>
      <c r="W21" s="1350"/>
      <c r="X21" s="328"/>
      <c r="Y21" s="329"/>
      <c r="Z21" s="1350"/>
      <c r="AA21" s="1350"/>
      <c r="AB21" s="1350"/>
      <c r="AC21" s="1350"/>
      <c r="AD21" s="1350"/>
      <c r="AE21" s="1350"/>
      <c r="AF21" s="1350"/>
      <c r="AG21" s="1350"/>
      <c r="AH21" s="1350"/>
      <c r="AI21" s="1350"/>
      <c r="AJ21" s="1350"/>
      <c r="AK21" s="1350"/>
      <c r="AL21" s="328"/>
      <c r="AM21" s="329"/>
      <c r="AN21" s="1350"/>
      <c r="AO21" s="1350"/>
      <c r="AP21" s="1350"/>
      <c r="AQ21" s="1350"/>
      <c r="AR21" s="1350"/>
      <c r="AS21" s="1350"/>
      <c r="AT21" s="1350"/>
      <c r="AU21" s="1350"/>
      <c r="AV21" s="1350"/>
      <c r="AW21" s="1350"/>
      <c r="AX21" s="1350"/>
      <c r="AY21" s="1350"/>
      <c r="AZ21" s="328"/>
      <c r="BA21" s="329"/>
      <c r="BB21" s="1350"/>
      <c r="BC21" s="1350"/>
      <c r="BD21" s="1350"/>
      <c r="BE21" s="1350"/>
      <c r="BF21" s="1350"/>
      <c r="BG21" s="1350"/>
      <c r="BH21" s="1350"/>
      <c r="BI21" s="1350"/>
      <c r="BJ21" s="1350"/>
      <c r="BK21" s="1350"/>
      <c r="BL21" s="1350"/>
      <c r="BM21" s="1350"/>
      <c r="BN21" s="328"/>
      <c r="BO21" s="329"/>
      <c r="BP21" s="1350"/>
      <c r="BQ21" s="1350"/>
      <c r="BR21" s="1350"/>
      <c r="BS21" s="1350"/>
      <c r="BT21" s="1350"/>
      <c r="BU21" s="1350"/>
      <c r="BV21" s="1350"/>
      <c r="BW21" s="1350"/>
      <c r="BX21" s="1350"/>
      <c r="BY21" s="1350"/>
      <c r="BZ21" s="1350"/>
      <c r="CA21" s="1350"/>
      <c r="CB21" s="328"/>
      <c r="CC21" s="329"/>
      <c r="CD21" s="1350"/>
      <c r="CE21" s="1350"/>
      <c r="CF21" s="1350"/>
      <c r="CG21" s="1350"/>
      <c r="CH21" s="1350"/>
      <c r="CI21" s="1350"/>
      <c r="CJ21" s="1350"/>
      <c r="CK21" s="1350"/>
      <c r="CL21" s="1350"/>
      <c r="CM21" s="1350"/>
      <c r="CN21" s="1350"/>
      <c r="CO21" s="1350"/>
      <c r="CP21" s="328"/>
      <c r="CQ21" s="329"/>
      <c r="CR21" s="1350"/>
      <c r="CS21" s="1350"/>
      <c r="CT21" s="1350"/>
      <c r="CU21" s="1350"/>
      <c r="CV21" s="1350"/>
      <c r="CW21" s="1350"/>
      <c r="CX21" s="1350"/>
      <c r="CY21" s="1350"/>
      <c r="CZ21" s="1350"/>
      <c r="DA21" s="1350"/>
      <c r="DB21" s="1350"/>
      <c r="DC21" s="1350"/>
      <c r="DD21" s="328"/>
      <c r="DE21" s="329"/>
      <c r="DF21" s="1350"/>
      <c r="DG21" s="1350"/>
      <c r="DH21" s="1350"/>
      <c r="DI21" s="1350"/>
      <c r="DJ21" s="1350"/>
      <c r="DK21" s="1350"/>
      <c r="DL21" s="1350"/>
      <c r="DM21" s="1350"/>
      <c r="DN21" s="1350"/>
      <c r="DO21" s="1350"/>
      <c r="DP21" s="1350"/>
      <c r="DQ21" s="1350"/>
      <c r="DR21" s="328"/>
      <c r="DS21" s="329"/>
      <c r="DT21" s="1350"/>
      <c r="DU21" s="1350"/>
      <c r="DV21" s="1350"/>
      <c r="DW21" s="1350"/>
      <c r="DX21" s="1350"/>
      <c r="DY21" s="1350"/>
      <c r="DZ21" s="1350"/>
      <c r="EA21" s="1350"/>
      <c r="EB21" s="1350"/>
      <c r="EC21" s="1350"/>
      <c r="ED21" s="1350"/>
      <c r="EE21" s="1350"/>
      <c r="EF21" s="328"/>
      <c r="EG21" s="329"/>
      <c r="EH21" s="1350"/>
      <c r="EI21" s="1350"/>
      <c r="EJ21" s="1350"/>
      <c r="EK21" s="1350"/>
      <c r="EL21" s="1350"/>
      <c r="EM21" s="1350"/>
      <c r="EN21" s="1350"/>
      <c r="EO21" s="1350"/>
      <c r="EP21" s="1350"/>
      <c r="EQ21" s="1350"/>
      <c r="ER21" s="1350"/>
      <c r="ES21" s="1350"/>
      <c r="ET21" s="328"/>
      <c r="EU21" s="329"/>
      <c r="EV21" s="1350"/>
      <c r="EW21" s="1350"/>
      <c r="EX21" s="1350"/>
      <c r="EY21" s="1350"/>
      <c r="EZ21" s="1350"/>
      <c r="FA21" s="1350"/>
      <c r="FB21" s="1350"/>
      <c r="FC21" s="1350"/>
      <c r="FD21" s="1350"/>
      <c r="FE21" s="1350"/>
      <c r="FF21" s="1350"/>
      <c r="FG21" s="1350"/>
      <c r="FH21" s="328"/>
      <c r="FI21" s="329"/>
      <c r="FJ21" s="1350"/>
      <c r="FK21" s="1350"/>
      <c r="FL21" s="1350"/>
      <c r="FM21" s="1350"/>
      <c r="FN21" s="1350"/>
      <c r="FO21" s="1350"/>
      <c r="FP21" s="1350"/>
      <c r="FQ21" s="1350"/>
      <c r="FR21" s="1350"/>
      <c r="FS21" s="1350"/>
      <c r="FT21" s="1350"/>
      <c r="FU21" s="1350"/>
      <c r="FV21" s="328"/>
      <c r="FW21" s="329"/>
      <c r="FX21" s="1350"/>
      <c r="FY21" s="1350"/>
      <c r="FZ21" s="1350"/>
      <c r="GA21" s="1350"/>
      <c r="GB21" s="1350"/>
      <c r="GC21" s="1350"/>
      <c r="GD21" s="1350"/>
      <c r="GE21" s="1350"/>
      <c r="GF21" s="1350"/>
      <c r="GG21" s="1350"/>
      <c r="GH21" s="1350"/>
      <c r="GI21" s="1350"/>
      <c r="GJ21" s="328"/>
      <c r="GK21" s="329"/>
      <c r="GL21" s="1350"/>
      <c r="GM21" s="1350"/>
      <c r="GN21" s="1350"/>
      <c r="GO21" s="1350"/>
      <c r="GP21" s="1350"/>
      <c r="GQ21" s="1350"/>
      <c r="GR21" s="1350"/>
      <c r="GS21" s="1350"/>
      <c r="GT21" s="1350"/>
      <c r="GU21" s="1350"/>
      <c r="GV21" s="1350"/>
      <c r="GW21" s="1350"/>
      <c r="GX21" s="328"/>
      <c r="GY21" s="329"/>
      <c r="GZ21" s="1350"/>
      <c r="HA21" s="1350"/>
      <c r="HB21" s="1350"/>
      <c r="HC21" s="1350"/>
      <c r="HD21" s="1350"/>
      <c r="HE21" s="1350"/>
      <c r="HF21" s="1350"/>
      <c r="HG21" s="1350"/>
      <c r="HH21" s="1350"/>
      <c r="HI21" s="1350"/>
      <c r="HJ21" s="1350"/>
      <c r="HK21" s="1350"/>
      <c r="HL21" s="328"/>
      <c r="HM21" s="329"/>
      <c r="HN21" s="1350"/>
      <c r="HO21" s="1350"/>
      <c r="HP21" s="1350"/>
      <c r="HQ21" s="1350"/>
      <c r="HR21" s="1350"/>
      <c r="HS21" s="1350"/>
      <c r="HT21" s="1350"/>
      <c r="HU21" s="1350"/>
      <c r="HV21" s="1350"/>
      <c r="HW21" s="1350"/>
      <c r="HX21" s="1350"/>
      <c r="HY21" s="1350"/>
      <c r="HZ21" s="328"/>
      <c r="IA21" s="329"/>
      <c r="IB21" s="1350"/>
      <c r="IC21" s="1350"/>
      <c r="ID21" s="1350"/>
      <c r="IE21" s="1350"/>
      <c r="IF21" s="1350"/>
      <c r="IG21" s="1350"/>
      <c r="IH21" s="1350"/>
      <c r="II21" s="1350"/>
      <c r="IJ21" s="1350"/>
      <c r="IK21" s="1350"/>
      <c r="IL21" s="1350"/>
      <c r="IM21" s="1350"/>
      <c r="IN21" s="328"/>
      <c r="IO21" s="329"/>
      <c r="IP21" s="1350"/>
      <c r="IQ21" s="1350"/>
    </row>
    <row r="22" spans="1:251" s="1357" customFormat="1" ht="24.75" customHeight="1" thickBot="1" x14ac:dyDescent="0.35">
      <c r="A22" s="781" t="s">
        <v>110</v>
      </c>
      <c r="B22" s="836" t="s">
        <v>109</v>
      </c>
      <c r="C22" s="1352">
        <f>C18+C21</f>
        <v>608008</v>
      </c>
      <c r="D22" s="1352">
        <f>D18+D21</f>
        <v>724708.72468750004</v>
      </c>
      <c r="E22" s="1352">
        <f>E18+E21</f>
        <v>1139084</v>
      </c>
      <c r="F22" s="1353">
        <f t="shared" ref="F22:L22" si="8">+F18+F21</f>
        <v>0</v>
      </c>
      <c r="G22" s="1354">
        <f t="shared" si="8"/>
        <v>0</v>
      </c>
      <c r="H22" s="1355">
        <f t="shared" si="8"/>
        <v>0</v>
      </c>
      <c r="I22" s="1356">
        <f t="shared" si="8"/>
        <v>256000</v>
      </c>
      <c r="J22" s="1353" t="e">
        <f t="shared" si="8"/>
        <v>#REF!</v>
      </c>
      <c r="K22" s="1354">
        <f t="shared" si="8"/>
        <v>342700</v>
      </c>
      <c r="L22" s="1355">
        <f t="shared" si="8"/>
        <v>377682</v>
      </c>
      <c r="M22" s="1356" t="e">
        <f t="shared" ref="M22:R22" si="9">M18+M21</f>
        <v>#REF!</v>
      </c>
      <c r="N22" s="1352">
        <f t="shared" si="9"/>
        <v>1067408.7246874999</v>
      </c>
      <c r="O22" s="1355">
        <f t="shared" si="9"/>
        <v>1516766</v>
      </c>
      <c r="P22" s="1356" t="e">
        <f t="shared" si="9"/>
        <v>#REF!</v>
      </c>
      <c r="Q22" s="1352">
        <f t="shared" si="9"/>
        <v>1067408.7246874999</v>
      </c>
      <c r="R22" s="1355">
        <f t="shared" si="9"/>
        <v>1516766</v>
      </c>
    </row>
    <row r="23" spans="1:251" hidden="1" x14ac:dyDescent="0.35">
      <c r="A23" s="273"/>
      <c r="B23" s="274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</row>
    <row r="24" spans="1:251" hidden="1" x14ac:dyDescent="0.35">
      <c r="A24" s="275"/>
      <c r="B24" s="276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</row>
    <row r="25" spans="1:251" hidden="1" x14ac:dyDescent="0.35">
      <c r="A25" s="273"/>
      <c r="B25" s="277"/>
      <c r="C25" s="277"/>
      <c r="D25" s="333">
        <v>1663703.446</v>
      </c>
      <c r="E25" s="330">
        <v>0</v>
      </c>
      <c r="F25" s="330"/>
      <c r="G25" s="330"/>
      <c r="H25" s="330">
        <v>0</v>
      </c>
      <c r="I25" s="330"/>
      <c r="J25" s="330"/>
      <c r="K25" s="330">
        <v>255150</v>
      </c>
      <c r="L25" s="330">
        <v>0</v>
      </c>
      <c r="M25" s="330"/>
      <c r="N25" s="330"/>
      <c r="O25" s="330">
        <v>1637599</v>
      </c>
      <c r="P25" s="330"/>
      <c r="Q25" s="330"/>
    </row>
    <row r="26" spans="1:251" hidden="1" x14ac:dyDescent="0.35">
      <c r="A26" s="273"/>
      <c r="B26" s="277"/>
      <c r="C26" s="277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</row>
    <row r="27" spans="1:251" ht="21" hidden="1" x14ac:dyDescent="0.4">
      <c r="A27" s="273"/>
      <c r="B27" s="277"/>
      <c r="C27" s="277"/>
      <c r="D27" s="1379">
        <v>17.5</v>
      </c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</row>
    <row r="28" spans="1:251" ht="21" hidden="1" x14ac:dyDescent="0.4">
      <c r="A28" s="1860" t="s">
        <v>509</v>
      </c>
      <c r="B28" s="1861"/>
      <c r="C28" s="949"/>
      <c r="D28" s="339">
        <v>81530</v>
      </c>
      <c r="E28" s="379"/>
      <c r="F28" s="379"/>
      <c r="G28" s="379"/>
      <c r="H28" s="378"/>
      <c r="I28" s="757"/>
      <c r="J28" s="1858"/>
      <c r="K28" s="1859"/>
      <c r="L28" s="339"/>
      <c r="M28" s="515"/>
      <c r="N28" s="515"/>
      <c r="O28" s="330">
        <f>+((D29*D28*D30*10)*(1.175/2)/1000)</f>
        <v>1077.7246875000001</v>
      </c>
      <c r="P28" s="330"/>
      <c r="Q28" s="330"/>
    </row>
    <row r="29" spans="1:251" ht="21" hidden="1" x14ac:dyDescent="0.4">
      <c r="A29" s="1856" t="s">
        <v>510</v>
      </c>
      <c r="B29" s="1857"/>
      <c r="C29" s="948"/>
      <c r="D29" s="339">
        <v>3</v>
      </c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>
        <f>D28*D29*12*1.0875</f>
        <v>3191899.4999999995</v>
      </c>
      <c r="P29" s="330"/>
      <c r="Q29" s="330"/>
    </row>
    <row r="30" spans="1:251" ht="21" hidden="1" x14ac:dyDescent="0.4">
      <c r="A30" s="1856" t="s">
        <v>511</v>
      </c>
      <c r="B30" s="1857"/>
      <c r="C30" s="948"/>
      <c r="D30" s="377">
        <v>0.75</v>
      </c>
      <c r="E30" s="339"/>
      <c r="F30" s="515"/>
      <c r="G30" s="515"/>
      <c r="H30" s="330"/>
      <c r="I30" s="330"/>
      <c r="J30" s="330"/>
      <c r="K30" s="330"/>
      <c r="L30" s="330"/>
      <c r="M30" s="330"/>
      <c r="N30" s="330"/>
      <c r="O30" s="330"/>
      <c r="P30" s="330"/>
      <c r="Q30" s="330"/>
    </row>
    <row r="31" spans="1:251" ht="18.75" hidden="1" customHeight="1" x14ac:dyDescent="0.35">
      <c r="A31" s="1856" t="s">
        <v>512</v>
      </c>
      <c r="B31" s="1857"/>
      <c r="C31" s="947"/>
      <c r="D31" s="330">
        <v>12</v>
      </c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</row>
    <row r="32" spans="1:251" hidden="1" x14ac:dyDescent="0.35">
      <c r="A32" s="273"/>
      <c r="B32" s="277"/>
      <c r="C32" s="277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</row>
    <row r="33" spans="1:16" hidden="1" x14ac:dyDescent="0.35">
      <c r="A33" s="273"/>
      <c r="B33" s="277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</row>
    <row r="34" spans="1:16" hidden="1" x14ac:dyDescent="0.35">
      <c r="A34" s="273"/>
      <c r="B34" s="277"/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</row>
    <row r="35" spans="1:16" hidden="1" x14ac:dyDescent="0.35">
      <c r="A35" s="275"/>
      <c r="B35" s="278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</row>
    <row r="36" spans="1:16" hidden="1" x14ac:dyDescent="0.35">
      <c r="A36" s="273"/>
      <c r="B36" s="277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</row>
    <row r="37" spans="1:16" x14ac:dyDescent="0.35">
      <c r="A37" s="273"/>
      <c r="B37" s="277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</row>
    <row r="38" spans="1:16" x14ac:dyDescent="0.35">
      <c r="A38" s="275"/>
      <c r="B38" s="276"/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</row>
    <row r="39" spans="1:16" x14ac:dyDescent="0.35">
      <c r="A39" s="273"/>
      <c r="B39" s="277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</row>
    <row r="40" spans="1:16" x14ac:dyDescent="0.35">
      <c r="A40" s="275"/>
      <c r="B40" s="276"/>
      <c r="C40" s="332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</row>
    <row r="41" spans="1:16" ht="17.25" customHeight="1" x14ac:dyDescent="0.35">
      <c r="A41" s="273"/>
      <c r="B41" s="274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</row>
    <row r="42" spans="1:16" x14ac:dyDescent="0.35">
      <c r="A42" s="273"/>
      <c r="B42" s="277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</row>
    <row r="43" spans="1:16" x14ac:dyDescent="0.35">
      <c r="A43" s="275"/>
      <c r="B43" s="276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</row>
    <row r="44" spans="1:16" x14ac:dyDescent="0.35">
      <c r="A44" s="279"/>
      <c r="B44" s="28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</row>
    <row r="45" spans="1:16" x14ac:dyDescent="0.35">
      <c r="A45" s="281"/>
      <c r="B45" s="539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</row>
    <row r="46" spans="1:16" x14ac:dyDescent="0.35">
      <c r="A46" s="281"/>
      <c r="B46" s="539"/>
      <c r="C46" s="330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</row>
    <row r="47" spans="1:16" x14ac:dyDescent="0.35">
      <c r="A47" s="274"/>
      <c r="B47" s="277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</row>
    <row r="48" spans="1:16" x14ac:dyDescent="0.35">
      <c r="A48" s="276"/>
      <c r="B48" s="278"/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</row>
    <row r="49" spans="1:16" x14ac:dyDescent="0.35">
      <c r="A49" s="274"/>
      <c r="B49" s="274"/>
      <c r="C49" s="330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</row>
    <row r="50" spans="1:16" x14ac:dyDescent="0.35">
      <c r="A50" s="274"/>
      <c r="B50" s="274"/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</row>
    <row r="51" spans="1:16" x14ac:dyDescent="0.35">
      <c r="A51" s="276"/>
      <c r="B51" s="276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</row>
    <row r="52" spans="1:16" x14ac:dyDescent="0.35">
      <c r="A52" s="274"/>
      <c r="B52" s="282"/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</row>
    <row r="53" spans="1:16" x14ac:dyDescent="0.35">
      <c r="A53" s="274"/>
      <c r="B53" s="282"/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</row>
    <row r="54" spans="1:16" x14ac:dyDescent="0.35">
      <c r="A54" s="274"/>
      <c r="B54" s="277"/>
      <c r="C54" s="330"/>
      <c r="D54" s="330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30"/>
      <c r="P54" s="330"/>
    </row>
    <row r="55" spans="1:16" x14ac:dyDescent="0.35">
      <c r="A55" s="276"/>
      <c r="B55" s="278"/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  <c r="N55" s="330"/>
      <c r="O55" s="330"/>
      <c r="P55" s="330"/>
    </row>
    <row r="56" spans="1:16" x14ac:dyDescent="0.35">
      <c r="A56" s="276"/>
      <c r="B56" s="278"/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0"/>
    </row>
    <row r="57" spans="1:16" x14ac:dyDescent="0.35">
      <c r="A57" s="283"/>
      <c r="B57" s="284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</row>
    <row r="58" spans="1:16" x14ac:dyDescent="0.35">
      <c r="A58" s="285"/>
      <c r="B58" s="286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</row>
    <row r="59" spans="1:16" x14ac:dyDescent="0.35">
      <c r="A59" s="330"/>
      <c r="B59" s="330"/>
      <c r="C59" s="330"/>
      <c r="D59" s="330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</row>
  </sheetData>
  <mergeCells count="8">
    <mergeCell ref="A1:R1"/>
    <mergeCell ref="A2:R2"/>
    <mergeCell ref="A3:R3"/>
    <mergeCell ref="A31:B31"/>
    <mergeCell ref="J28:K28"/>
    <mergeCell ref="A28:B28"/>
    <mergeCell ref="A29:B29"/>
    <mergeCell ref="A30:B30"/>
  </mergeCells>
  <phoneticPr fontId="57" type="noConversion"/>
  <hyperlinks>
    <hyperlink ref="S1" location="Munka1!A1" display="Munka1!A1" xr:uid="{00000000-0004-0000-0E00-000000000000}"/>
  </hyperlinks>
  <printOptions horizontalCentered="1"/>
  <pageMargins left="0.2" right="0.2" top="0.74803149606299213" bottom="0.74803149606299213" header="0.31496062992125984" footer="0.31496062992125984"/>
  <pageSetup paperSize="9" scale="52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4">
    <tabColor rgb="FF92D050"/>
    <pageSetUpPr fitToPage="1"/>
  </sheetPr>
  <dimension ref="A1:E81"/>
  <sheetViews>
    <sheetView view="pageBreakPreview" topLeftCell="A28" zoomScaleSheetLayoutView="100" workbookViewId="0">
      <selection activeCell="B14" sqref="B14"/>
    </sheetView>
  </sheetViews>
  <sheetFormatPr defaultColWidth="9.109375" defaultRowHeight="13.8" x14ac:dyDescent="0.25"/>
  <cols>
    <col min="1" max="1" width="7.21875" style="371" customWidth="1"/>
    <col min="2" max="2" width="120.21875" style="374" customWidth="1"/>
    <col min="3" max="3" width="18.5546875" style="560" customWidth="1"/>
    <col min="4" max="4" width="63.5546875" style="371" hidden="1" customWidth="1"/>
    <col min="5" max="5" width="13.5546875" style="371" customWidth="1"/>
    <col min="6" max="16384" width="9.109375" style="371"/>
  </cols>
  <sheetData>
    <row r="1" spans="1:5" ht="17.399999999999999" x14ac:dyDescent="0.3">
      <c r="A1" s="1841" t="str">
        <f>'12.-Támogatási bevételek (B (2)'!A1:Q1</f>
        <v>Pilisvörösvár Város Önkormányzata Képviselő-testületének 1/2021. (II. 15.) önkormányzati rendelete</v>
      </c>
      <c r="B1" s="1841"/>
      <c r="C1" s="1841"/>
      <c r="D1" s="1362" t="s">
        <v>758</v>
      </c>
    </row>
    <row r="2" spans="1:5" ht="17.399999999999999" x14ac:dyDescent="0.3">
      <c r="A2" s="1841" t="str">
        <f>'12.-Támogatási bevételek (B (2)'!A2:Q2</f>
        <v>az Önkormányzat  2021. évi költségvetéséről</v>
      </c>
      <c r="B2" s="1841"/>
      <c r="C2" s="1841"/>
    </row>
    <row r="3" spans="1:5" ht="17.399999999999999" x14ac:dyDescent="0.3">
      <c r="A3" s="1516"/>
      <c r="B3" s="1516"/>
      <c r="C3" s="1516"/>
    </row>
    <row r="4" spans="1:5" ht="17.399999999999999" x14ac:dyDescent="0.3">
      <c r="A4" s="1841" t="str">
        <f>Tartalomjegyzék_2021!B20</f>
        <v>Pilisvörösvár Város Önkormányzata általános működésének és ágazati feladatainak állami támogatása</v>
      </c>
      <c r="B4" s="1841"/>
      <c r="C4" s="1841"/>
    </row>
    <row r="5" spans="1:5" ht="17.399999999999999" x14ac:dyDescent="0.3">
      <c r="A5" s="1516"/>
      <c r="B5" s="1516"/>
      <c r="C5" s="1516"/>
    </row>
    <row r="6" spans="1:5" s="373" customFormat="1" ht="45" customHeight="1" x14ac:dyDescent="0.35">
      <c r="A6" s="1864" t="s">
        <v>830</v>
      </c>
      <c r="B6" s="1864"/>
      <c r="C6" s="1864"/>
      <c r="D6" s="372"/>
      <c r="E6" s="372"/>
    </row>
    <row r="7" spans="1:5" ht="19.5" customHeight="1" x14ac:dyDescent="0.35">
      <c r="A7" s="644"/>
      <c r="B7" s="645"/>
      <c r="C7" s="1119" t="s">
        <v>558</v>
      </c>
    </row>
    <row r="8" spans="1:5" ht="18.600000000000001" thickBot="1" x14ac:dyDescent="0.4">
      <c r="A8" s="23"/>
      <c r="B8" s="646"/>
      <c r="C8" s="1113"/>
    </row>
    <row r="9" spans="1:5" ht="54.75" customHeight="1" thickBot="1" x14ac:dyDescent="0.3">
      <c r="A9" s="647"/>
      <c r="B9" s="1517"/>
      <c r="C9" s="1426" t="s">
        <v>824</v>
      </c>
    </row>
    <row r="10" spans="1:5" ht="29.25" customHeight="1" thickBot="1" x14ac:dyDescent="0.3">
      <c r="A10" s="1865" t="s">
        <v>693</v>
      </c>
      <c r="B10" s="1865"/>
      <c r="C10" s="1865"/>
    </row>
    <row r="11" spans="1:5" ht="29.25" customHeight="1" x14ac:dyDescent="0.25">
      <c r="A11" s="1449" t="s">
        <v>25</v>
      </c>
      <c r="B11" s="1530" t="s">
        <v>353</v>
      </c>
      <c r="C11" s="1519"/>
    </row>
    <row r="12" spans="1:5" s="855" customFormat="1" ht="15.6" x14ac:dyDescent="0.3">
      <c r="A12" s="1522">
        <v>1</v>
      </c>
      <c r="B12" s="1520" t="s">
        <v>879</v>
      </c>
      <c r="C12" s="1306">
        <v>189654000</v>
      </c>
      <c r="D12" s="1139" t="e">
        <f>+C12-#REF!</f>
        <v>#REF!</v>
      </c>
      <c r="E12" s="856"/>
    </row>
    <row r="13" spans="1:5" s="855" customFormat="1" ht="15.6" x14ac:dyDescent="0.3">
      <c r="A13" s="1522">
        <v>2</v>
      </c>
      <c r="B13" s="1521" t="s">
        <v>880</v>
      </c>
      <c r="C13" s="1307">
        <v>14444640</v>
      </c>
      <c r="D13" s="1139" t="e">
        <f>+C13-#REF!</f>
        <v>#REF!</v>
      </c>
      <c r="E13" s="857"/>
    </row>
    <row r="14" spans="1:5" s="855" customFormat="1" ht="15.6" x14ac:dyDescent="0.3">
      <c r="A14" s="1522">
        <v>3</v>
      </c>
      <c r="B14" s="1521" t="s">
        <v>883</v>
      </c>
      <c r="C14" s="1307">
        <v>38240000</v>
      </c>
      <c r="D14" s="1139" t="e">
        <f>+C14-#REF!</f>
        <v>#REF!</v>
      </c>
      <c r="E14" s="857"/>
    </row>
    <row r="15" spans="1:5" s="855" customFormat="1" ht="16.95" customHeight="1" x14ac:dyDescent="0.3">
      <c r="A15" s="1522">
        <v>4</v>
      </c>
      <c r="B15" s="1521" t="s">
        <v>882</v>
      </c>
      <c r="C15" s="1307">
        <v>100000</v>
      </c>
      <c r="D15" s="1139" t="e">
        <f>+C15-#REF!</f>
        <v>#REF!</v>
      </c>
      <c r="E15" s="857"/>
    </row>
    <row r="16" spans="1:5" s="855" customFormat="1" ht="15.6" x14ac:dyDescent="0.3">
      <c r="A16" s="1522">
        <v>5</v>
      </c>
      <c r="B16" s="1521" t="s">
        <v>881</v>
      </c>
      <c r="C16" s="1307">
        <v>19639920</v>
      </c>
      <c r="D16" s="1139" t="e">
        <f>+C16-#REF!</f>
        <v>#REF!</v>
      </c>
      <c r="E16" s="857"/>
    </row>
    <row r="17" spans="1:5" s="855" customFormat="1" ht="15.6" x14ac:dyDescent="0.3">
      <c r="A17" s="1522">
        <v>6</v>
      </c>
      <c r="B17" s="1521" t="s">
        <v>884</v>
      </c>
      <c r="C17" s="1307">
        <v>39814200</v>
      </c>
      <c r="D17" s="1139" t="e">
        <f>+C17-#REF!</f>
        <v>#REF!</v>
      </c>
      <c r="E17" s="857"/>
    </row>
    <row r="18" spans="1:5" s="855" customFormat="1" ht="15.6" x14ac:dyDescent="0.3">
      <c r="A18" s="1522">
        <v>7</v>
      </c>
      <c r="B18" s="1521" t="s">
        <v>885</v>
      </c>
      <c r="C18" s="1307">
        <v>2249100</v>
      </c>
      <c r="D18" s="1139" t="e">
        <f>+C18-#REF!</f>
        <v>#REF!</v>
      </c>
      <c r="E18" s="857"/>
    </row>
    <row r="19" spans="1:5" s="375" customFormat="1" ht="32.25" customHeight="1" thickBot="1" x14ac:dyDescent="0.3">
      <c r="A19" s="1522">
        <v>8</v>
      </c>
      <c r="B19" s="1528" t="s">
        <v>354</v>
      </c>
      <c r="C19" s="1529">
        <f>SUM(C12:C18)</f>
        <v>304141860</v>
      </c>
      <c r="D19" s="1139" t="e">
        <f>+C19-#REF!</f>
        <v>#REF!</v>
      </c>
      <c r="E19" s="559"/>
    </row>
    <row r="20" spans="1:5" ht="15.6" x14ac:dyDescent="0.3">
      <c r="A20" s="1524"/>
      <c r="B20" s="376"/>
      <c r="C20" s="1523"/>
    </row>
    <row r="21" spans="1:5" ht="28.8" customHeight="1" thickBot="1" x14ac:dyDescent="0.3">
      <c r="A21" s="1862" t="s">
        <v>897</v>
      </c>
      <c r="B21" s="1863"/>
      <c r="C21" s="1863"/>
    </row>
    <row r="22" spans="1:5" ht="31.2" x14ac:dyDescent="0.25">
      <c r="A22" s="1449" t="s">
        <v>25</v>
      </c>
      <c r="B22" s="1537" t="s">
        <v>353</v>
      </c>
      <c r="C22" s="1538"/>
    </row>
    <row r="23" spans="1:5" ht="15.6" x14ac:dyDescent="0.3">
      <c r="A23" s="1539" t="s">
        <v>128</v>
      </c>
      <c r="B23" s="1532" t="s">
        <v>851</v>
      </c>
      <c r="C23" s="1540">
        <v>49547380</v>
      </c>
    </row>
    <row r="24" spans="1:5" ht="15.6" x14ac:dyDescent="0.3">
      <c r="A24" s="1539" t="s">
        <v>129</v>
      </c>
      <c r="B24" s="1532" t="s">
        <v>887</v>
      </c>
      <c r="C24" s="1540">
        <v>216822900</v>
      </c>
    </row>
    <row r="25" spans="1:5" ht="15.6" x14ac:dyDescent="0.3">
      <c r="A25" s="1539" t="s">
        <v>130</v>
      </c>
      <c r="B25" s="1532" t="s">
        <v>931</v>
      </c>
      <c r="C25" s="1540">
        <v>28144069</v>
      </c>
    </row>
    <row r="26" spans="1:5" ht="15.6" x14ac:dyDescent="0.3">
      <c r="A26" s="1539" t="s">
        <v>131</v>
      </c>
      <c r="B26" s="1532" t="s">
        <v>919</v>
      </c>
      <c r="C26" s="1540">
        <v>6912000</v>
      </c>
    </row>
    <row r="27" spans="1:5" ht="15.6" x14ac:dyDescent="0.3">
      <c r="A27" s="1539" t="s">
        <v>132</v>
      </c>
      <c r="B27" s="1532" t="s">
        <v>891</v>
      </c>
      <c r="C27" s="1540">
        <v>1611000</v>
      </c>
    </row>
    <row r="28" spans="1:5" ht="15.6" x14ac:dyDescent="0.3">
      <c r="A28" s="1539" t="s">
        <v>133</v>
      </c>
      <c r="B28" s="1532" t="s">
        <v>892</v>
      </c>
      <c r="C28" s="1540">
        <v>18666800</v>
      </c>
    </row>
    <row r="29" spans="1:5" ht="15.6" x14ac:dyDescent="0.3">
      <c r="A29" s="1539" t="s">
        <v>134</v>
      </c>
      <c r="B29" s="1532" t="s">
        <v>894</v>
      </c>
      <c r="C29" s="1540">
        <v>89029500</v>
      </c>
    </row>
    <row r="30" spans="1:5" ht="15.6" x14ac:dyDescent="0.3">
      <c r="A30" s="1539" t="s">
        <v>135</v>
      </c>
      <c r="B30" s="1532" t="s">
        <v>916</v>
      </c>
      <c r="C30" s="1540">
        <v>2430750</v>
      </c>
    </row>
    <row r="31" spans="1:5" ht="31.8" customHeight="1" thickBot="1" x14ac:dyDescent="0.3">
      <c r="A31" s="1541" t="s">
        <v>918</v>
      </c>
      <c r="B31" s="1542" t="s">
        <v>896</v>
      </c>
      <c r="C31" s="1543">
        <f>SUM(C23:C30)</f>
        <v>413164399</v>
      </c>
    </row>
    <row r="32" spans="1:5" ht="15.6" x14ac:dyDescent="0.3">
      <c r="A32" s="1525"/>
      <c r="B32" s="376"/>
      <c r="C32" s="1526"/>
    </row>
    <row r="33" spans="1:3" ht="28.8" customHeight="1" thickBot="1" x14ac:dyDescent="0.3">
      <c r="A33" s="1862" t="s">
        <v>902</v>
      </c>
      <c r="B33" s="1863"/>
      <c r="C33" s="1863"/>
    </row>
    <row r="34" spans="1:3" ht="31.2" x14ac:dyDescent="0.25">
      <c r="A34" s="1449" t="s">
        <v>25</v>
      </c>
      <c r="B34" s="1537" t="s">
        <v>353</v>
      </c>
      <c r="C34" s="1538"/>
    </row>
    <row r="35" spans="1:3" ht="15.6" x14ac:dyDescent="0.3">
      <c r="A35" s="1539" t="s">
        <v>136</v>
      </c>
      <c r="B35" s="1532" t="s">
        <v>903</v>
      </c>
      <c r="C35" s="1540">
        <v>15580000</v>
      </c>
    </row>
    <row r="36" spans="1:3" ht="15.6" x14ac:dyDescent="0.3">
      <c r="A36" s="1539" t="s">
        <v>137</v>
      </c>
      <c r="B36" s="1532" t="s">
        <v>904</v>
      </c>
      <c r="C36" s="1540">
        <v>29200000</v>
      </c>
    </row>
    <row r="37" spans="1:3" ht="15.6" x14ac:dyDescent="0.3">
      <c r="A37" s="1539" t="s">
        <v>570</v>
      </c>
      <c r="B37" s="1532" t="s">
        <v>905</v>
      </c>
      <c r="C37" s="1540">
        <v>5839680</v>
      </c>
    </row>
    <row r="38" spans="1:3" ht="15.6" x14ac:dyDescent="0.3">
      <c r="A38" s="1539" t="s">
        <v>888</v>
      </c>
      <c r="B38" s="1532" t="s">
        <v>868</v>
      </c>
      <c r="C38" s="1540">
        <v>25000</v>
      </c>
    </row>
    <row r="39" spans="1:3" ht="15.6" x14ac:dyDescent="0.3">
      <c r="A39" s="1539" t="s">
        <v>889</v>
      </c>
      <c r="B39" s="1532" t="s">
        <v>869</v>
      </c>
      <c r="C39" s="1540">
        <v>12269400</v>
      </c>
    </row>
    <row r="40" spans="1:3" ht="15.6" x14ac:dyDescent="0.3">
      <c r="A40" s="1539" t="s">
        <v>890</v>
      </c>
      <c r="B40" s="1532" t="s">
        <v>870</v>
      </c>
      <c r="C40" s="1540">
        <v>7161000</v>
      </c>
    </row>
    <row r="41" spans="1:3" ht="15.6" x14ac:dyDescent="0.3">
      <c r="A41" s="1539" t="s">
        <v>138</v>
      </c>
      <c r="B41" s="1532" t="s">
        <v>871</v>
      </c>
      <c r="C41" s="1540">
        <v>6441600</v>
      </c>
    </row>
    <row r="42" spans="1:3" ht="15.6" x14ac:dyDescent="0.3">
      <c r="A42" s="1539" t="s">
        <v>61</v>
      </c>
      <c r="B42" s="1532" t="s">
        <v>859</v>
      </c>
      <c r="C42" s="1540">
        <v>5100000</v>
      </c>
    </row>
    <row r="43" spans="1:3" ht="15.6" x14ac:dyDescent="0.3">
      <c r="A43" s="1539" t="s">
        <v>893</v>
      </c>
      <c r="B43" s="1532" t="s">
        <v>860</v>
      </c>
      <c r="C43" s="1540">
        <v>9798000</v>
      </c>
    </row>
    <row r="44" spans="1:3" ht="15.6" x14ac:dyDescent="0.3">
      <c r="A44" s="1539" t="s">
        <v>62</v>
      </c>
      <c r="B44" s="1532" t="s">
        <v>861</v>
      </c>
      <c r="C44" s="1540">
        <v>8598000</v>
      </c>
    </row>
    <row r="45" spans="1:3" ht="15.6" x14ac:dyDescent="0.3">
      <c r="A45" s="1539" t="s">
        <v>895</v>
      </c>
      <c r="B45" s="1532" t="s">
        <v>907</v>
      </c>
      <c r="C45" s="1540">
        <v>12702120</v>
      </c>
    </row>
    <row r="46" spans="1:3" ht="15.6" x14ac:dyDescent="0.3">
      <c r="A46" s="1539" t="s">
        <v>139</v>
      </c>
      <c r="B46" s="1532" t="s">
        <v>908</v>
      </c>
      <c r="C46" s="1540">
        <v>10320000</v>
      </c>
    </row>
    <row r="47" spans="1:3" ht="31.8" customHeight="1" x14ac:dyDescent="0.25">
      <c r="A47" s="1545" t="s">
        <v>140</v>
      </c>
      <c r="B47" s="1546" t="s">
        <v>909</v>
      </c>
      <c r="C47" s="1547">
        <f>SUM(C35:C46)</f>
        <v>123034800</v>
      </c>
    </row>
    <row r="48" spans="1:3" ht="15.6" x14ac:dyDescent="0.3">
      <c r="A48" s="1531" t="s">
        <v>898</v>
      </c>
      <c r="B48" s="1532" t="s">
        <v>910</v>
      </c>
      <c r="C48" s="1533">
        <v>45072720</v>
      </c>
    </row>
    <row r="49" spans="1:5" ht="15.6" x14ac:dyDescent="0.3">
      <c r="A49" s="1531" t="s">
        <v>899</v>
      </c>
      <c r="B49" s="1532" t="s">
        <v>911</v>
      </c>
      <c r="C49" s="1533">
        <v>71671411</v>
      </c>
    </row>
    <row r="50" spans="1:5" ht="31.8" customHeight="1" x14ac:dyDescent="0.25">
      <c r="A50" s="1534" t="s">
        <v>900</v>
      </c>
      <c r="B50" s="1535" t="s">
        <v>912</v>
      </c>
      <c r="C50" s="1536">
        <v>116744131</v>
      </c>
    </row>
    <row r="51" spans="1:5" ht="15.6" x14ac:dyDescent="0.3">
      <c r="A51" s="1527"/>
      <c r="B51" s="376"/>
      <c r="C51" s="1544"/>
    </row>
    <row r="52" spans="1:5" ht="28.8" customHeight="1" thickBot="1" x14ac:dyDescent="0.3">
      <c r="A52" s="1862" t="s">
        <v>915</v>
      </c>
      <c r="B52" s="1863"/>
      <c r="C52" s="1863"/>
    </row>
    <row r="53" spans="1:5" ht="31.2" x14ac:dyDescent="0.25">
      <c r="A53" s="1449" t="s">
        <v>25</v>
      </c>
      <c r="B53" s="1537" t="s">
        <v>353</v>
      </c>
      <c r="C53" s="1538"/>
    </row>
    <row r="54" spans="1:5" ht="15.6" x14ac:dyDescent="0.3">
      <c r="A54" s="1539" t="s">
        <v>901</v>
      </c>
      <c r="B54" s="1532" t="s">
        <v>913</v>
      </c>
      <c r="C54" s="1540">
        <v>31998820</v>
      </c>
    </row>
    <row r="55" spans="1:5" ht="31.2" customHeight="1" thickBot="1" x14ac:dyDescent="0.3">
      <c r="A55" s="1548" t="s">
        <v>906</v>
      </c>
      <c r="B55" s="1549" t="s">
        <v>914</v>
      </c>
      <c r="C55" s="1547">
        <v>31998820</v>
      </c>
    </row>
    <row r="56" spans="1:5" ht="33.6" customHeight="1" thickBot="1" x14ac:dyDescent="0.3">
      <c r="A56" s="1607" t="s">
        <v>999</v>
      </c>
      <c r="B56" s="1608" t="s">
        <v>998</v>
      </c>
      <c r="C56" s="1609">
        <f>C19+C31+C47+C50+C55</f>
        <v>989084010</v>
      </c>
    </row>
    <row r="57" spans="1:5" s="855" customFormat="1" ht="31.2" customHeight="1" thickBot="1" x14ac:dyDescent="0.35">
      <c r="A57" s="1596">
        <v>37</v>
      </c>
      <c r="B57" s="1597" t="s">
        <v>886</v>
      </c>
      <c r="C57" s="1598">
        <v>-110362279</v>
      </c>
      <c r="D57" s="1139" t="e">
        <f>+C57-#REF!</f>
        <v>#REF!</v>
      </c>
      <c r="E57" s="857"/>
    </row>
    <row r="58" spans="1:5" ht="31.8" customHeight="1" thickBot="1" x14ac:dyDescent="0.3">
      <c r="A58" s="1595" t="s">
        <v>1000</v>
      </c>
      <c r="B58" s="1593" t="s">
        <v>329</v>
      </c>
      <c r="C58" s="1594">
        <f>C56+C57</f>
        <v>878721731</v>
      </c>
    </row>
    <row r="59" spans="1:5" hidden="1" x14ac:dyDescent="0.25"/>
    <row r="60" spans="1:5" hidden="1" x14ac:dyDescent="0.25"/>
    <row r="61" spans="1:5" hidden="1" x14ac:dyDescent="0.25"/>
    <row r="62" spans="1:5" hidden="1" x14ac:dyDescent="0.25"/>
    <row r="63" spans="1:5" hidden="1" x14ac:dyDescent="0.25"/>
    <row r="64" spans="1:5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8">
    <mergeCell ref="A33:C33"/>
    <mergeCell ref="A52:C52"/>
    <mergeCell ref="A1:C1"/>
    <mergeCell ref="A2:C2"/>
    <mergeCell ref="A4:C4"/>
    <mergeCell ref="A6:C6"/>
    <mergeCell ref="A10:C10"/>
    <mergeCell ref="A21:C21"/>
  </mergeCells>
  <hyperlinks>
    <hyperlink ref="D1" location="Munka1!A1" display="Munka1!A1" xr:uid="{00000000-0004-0000-0F00-000000000000}"/>
  </hyperlinks>
  <printOptions horizontalCentered="1"/>
  <pageMargins left="0.27559055118110237" right="0.27559055118110237" top="0.78740157480314965" bottom="0.78740157480314965" header="0.51181102362204722" footer="0.51181102362204722"/>
  <pageSetup paperSize="9" scale="75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5">
    <tabColor rgb="FF92D050"/>
  </sheetPr>
  <dimension ref="A1:H85"/>
  <sheetViews>
    <sheetView view="pageBreakPreview" topLeftCell="A43" zoomScaleNormal="100" zoomScaleSheetLayoutView="100" workbookViewId="0">
      <selection activeCell="B14" sqref="B14"/>
    </sheetView>
  </sheetViews>
  <sheetFormatPr defaultColWidth="9.109375" defaultRowHeight="18" x14ac:dyDescent="0.35"/>
  <cols>
    <col min="1" max="1" width="7.33203125" style="442" bestFit="1" customWidth="1"/>
    <col min="2" max="2" width="115.33203125" style="442" bestFit="1" customWidth="1"/>
    <col min="3" max="3" width="14.88671875" style="441" bestFit="1" customWidth="1"/>
    <col min="4" max="4" width="15.6640625" style="436" bestFit="1" customWidth="1"/>
    <col min="5" max="5" width="23.109375" style="436" customWidth="1"/>
    <col min="6" max="6" width="19" style="432" hidden="1" customWidth="1"/>
    <col min="7" max="7" width="19" style="431" hidden="1" customWidth="1"/>
    <col min="8" max="8" width="19.6640625" style="432" customWidth="1"/>
    <col min="9" max="16384" width="9.109375" style="431"/>
  </cols>
  <sheetData>
    <row r="1" spans="1:8" ht="17.399999999999999" customHeight="1" x14ac:dyDescent="0.3">
      <c r="A1" s="1872" t="str">
        <f>'13.- Költségvetési támogatások'!A1:C1</f>
        <v>Pilisvörösvár Város Önkormányzata Képviselő-testületének 1/2021. (II. 15.) önkormányzati rendelete</v>
      </c>
      <c r="B1" s="1872"/>
      <c r="C1" s="1872"/>
      <c r="D1" s="1872"/>
      <c r="E1" s="1872"/>
      <c r="F1" s="429"/>
      <c r="G1" s="430"/>
      <c r="H1" s="430"/>
    </row>
    <row r="2" spans="1:8" ht="18.75" customHeight="1" x14ac:dyDescent="0.3">
      <c r="A2" s="1872" t="str">
        <f>'13.- Költségvetési támogatások'!A2:C2</f>
        <v>az Önkormányzat  2021. évi költségvetéséről</v>
      </c>
      <c r="B2" s="1872"/>
      <c r="C2" s="1872"/>
      <c r="D2" s="1872"/>
      <c r="E2" s="1872"/>
      <c r="F2" s="429"/>
      <c r="G2" s="430"/>
      <c r="H2" s="430"/>
    </row>
    <row r="3" spans="1:8" ht="15.6" customHeight="1" x14ac:dyDescent="0.3">
      <c r="A3" s="1841"/>
      <c r="B3" s="1873"/>
      <c r="C3" s="1873"/>
      <c r="D3" s="1873"/>
      <c r="E3" s="1873"/>
      <c r="F3" s="155"/>
    </row>
    <row r="4" spans="1:8" ht="15.6" customHeight="1" x14ac:dyDescent="0.3">
      <c r="A4" s="1516"/>
      <c r="B4" s="1516"/>
      <c r="C4" s="1516"/>
      <c r="D4" s="1516"/>
      <c r="E4" s="1516"/>
      <c r="F4" s="1516"/>
    </row>
    <row r="5" spans="1:8" ht="15.6" x14ac:dyDescent="0.3">
      <c r="A5" s="1864" t="str">
        <f>Tartalomjegyzék_2021!B21</f>
        <v xml:space="preserve">Pilisvörösvár Város Önkormányzata intézményi normatíva kimutatása  </v>
      </c>
      <c r="B5" s="1864"/>
      <c r="C5" s="1864"/>
      <c r="D5" s="1864"/>
      <c r="E5" s="1864"/>
      <c r="F5" s="1518"/>
    </row>
    <row r="6" spans="1:8" x14ac:dyDescent="0.35">
      <c r="A6" s="433"/>
      <c r="B6" s="434"/>
      <c r="C6" s="435"/>
      <c r="E6" s="437"/>
      <c r="F6" s="438" t="s">
        <v>330</v>
      </c>
    </row>
    <row r="7" spans="1:8" x14ac:dyDescent="0.35">
      <c r="A7" s="433"/>
      <c r="B7" s="433"/>
      <c r="C7" s="435"/>
      <c r="E7" s="1446" t="s">
        <v>500</v>
      </c>
      <c r="F7" s="438"/>
    </row>
    <row r="8" spans="1:8" s="439" customFormat="1" ht="39.75" customHeight="1" thickBot="1" x14ac:dyDescent="0.35">
      <c r="A8" s="1134"/>
      <c r="B8" s="1447" t="s">
        <v>399</v>
      </c>
      <c r="C8" s="1448"/>
      <c r="E8" s="1446" t="s">
        <v>352</v>
      </c>
    </row>
    <row r="9" spans="1:8" s="432" customFormat="1" ht="39.75" customHeight="1" thickBot="1" x14ac:dyDescent="0.35">
      <c r="A9" s="1449" t="s">
        <v>848</v>
      </c>
      <c r="B9" s="1450" t="s">
        <v>353</v>
      </c>
      <c r="C9" s="1451" t="s">
        <v>849</v>
      </c>
      <c r="D9" s="1450" t="s">
        <v>49</v>
      </c>
      <c r="E9" s="1452" t="s">
        <v>50</v>
      </c>
      <c r="F9" s="1453" t="s">
        <v>850</v>
      </c>
    </row>
    <row r="10" spans="1:8" s="1458" customFormat="1" ht="36.75" customHeight="1" thickBot="1" x14ac:dyDescent="0.35">
      <c r="A10" s="1454">
        <v>1</v>
      </c>
      <c r="B10" s="1455" t="s">
        <v>851</v>
      </c>
      <c r="C10" s="1456">
        <v>97400</v>
      </c>
      <c r="D10" s="1457">
        <v>508.7</v>
      </c>
      <c r="E10" s="1456">
        <f t="shared" ref="E10:E17" si="0">C10*D10</f>
        <v>49547380</v>
      </c>
      <c r="G10" s="1459"/>
    </row>
    <row r="11" spans="1:8" s="1462" customFormat="1" ht="32.25" customHeight="1" x14ac:dyDescent="0.3">
      <c r="A11" s="1454">
        <v>2</v>
      </c>
      <c r="B11" s="1460" t="s">
        <v>852</v>
      </c>
      <c r="C11" s="1456">
        <v>4861500</v>
      </c>
      <c r="D11" s="1457">
        <v>44.6</v>
      </c>
      <c r="E11" s="1456">
        <f t="shared" si="0"/>
        <v>216822900</v>
      </c>
      <c r="F11" s="1461"/>
    </row>
    <row r="12" spans="1:8" s="1462" customFormat="1" ht="31.2" x14ac:dyDescent="0.3">
      <c r="A12" s="1454">
        <v>3</v>
      </c>
      <c r="B12" s="1460" t="s">
        <v>853</v>
      </c>
      <c r="C12" s="1456">
        <v>432000</v>
      </c>
      <c r="D12" s="1457">
        <v>16</v>
      </c>
      <c r="E12" s="1456">
        <f t="shared" si="0"/>
        <v>6912000</v>
      </c>
      <c r="F12" s="1463"/>
    </row>
    <row r="13" spans="1:8" s="1462" customFormat="1" ht="26.25" customHeight="1" x14ac:dyDescent="0.3">
      <c r="A13" s="1454">
        <v>4</v>
      </c>
      <c r="B13" s="1460" t="s">
        <v>854</v>
      </c>
      <c r="C13" s="1456">
        <v>1611000</v>
      </c>
      <c r="D13" s="1457">
        <v>1</v>
      </c>
      <c r="E13" s="1456">
        <f t="shared" si="0"/>
        <v>1611000</v>
      </c>
      <c r="F13" s="1463"/>
    </row>
    <row r="14" spans="1:8" s="1462" customFormat="1" ht="38.25" customHeight="1" x14ac:dyDescent="0.3">
      <c r="A14" s="1454">
        <v>5</v>
      </c>
      <c r="B14" s="1464" t="s">
        <v>855</v>
      </c>
      <c r="C14" s="1465">
        <v>811600</v>
      </c>
      <c r="D14" s="1457">
        <v>23</v>
      </c>
      <c r="E14" s="1456">
        <f t="shared" si="0"/>
        <v>18666800</v>
      </c>
      <c r="F14" s="1463"/>
    </row>
    <row r="15" spans="1:8" s="1462" customFormat="1" ht="25.5" customHeight="1" x14ac:dyDescent="0.3">
      <c r="A15" s="1454">
        <v>6</v>
      </c>
      <c r="B15" s="1464" t="s">
        <v>856</v>
      </c>
      <c r="C15" s="1465">
        <v>2919000</v>
      </c>
      <c r="D15" s="1457">
        <v>30.5</v>
      </c>
      <c r="E15" s="1465">
        <f t="shared" si="0"/>
        <v>89029500</v>
      </c>
      <c r="F15" s="1463"/>
    </row>
    <row r="16" spans="1:8" s="1462" customFormat="1" ht="25.5" customHeight="1" x14ac:dyDescent="0.3">
      <c r="A16" s="1454">
        <v>7</v>
      </c>
      <c r="B16" s="1464" t="s">
        <v>857</v>
      </c>
      <c r="C16" s="1456">
        <v>4861500</v>
      </c>
      <c r="D16" s="1457">
        <v>0.5</v>
      </c>
      <c r="E16" s="1465">
        <f t="shared" si="0"/>
        <v>2430750</v>
      </c>
      <c r="F16" s="1466"/>
    </row>
    <row r="17" spans="1:7" s="1130" customFormat="1" ht="25.5" customHeight="1" thickBot="1" x14ac:dyDescent="0.35">
      <c r="A17" s="1454">
        <v>8</v>
      </c>
      <c r="B17" s="1467" t="s">
        <v>57</v>
      </c>
      <c r="C17" s="443">
        <f>116744131/880</f>
        <v>132663.78522727272</v>
      </c>
      <c r="D17" s="1468">
        <v>496</v>
      </c>
      <c r="E17" s="1465">
        <f t="shared" si="0"/>
        <v>65801237.472727269</v>
      </c>
      <c r="F17" s="1469"/>
    </row>
    <row r="18" spans="1:7" s="1131" customFormat="1" ht="22.5" customHeight="1" thickBot="1" x14ac:dyDescent="0.35">
      <c r="A18" s="1470">
        <v>9</v>
      </c>
      <c r="B18" s="1869" t="s">
        <v>858</v>
      </c>
      <c r="C18" s="1870"/>
      <c r="D18" s="1871"/>
      <c r="E18" s="1471">
        <f>SUM(E10:E17)</f>
        <v>450821567.4727273</v>
      </c>
      <c r="F18" s="1472"/>
    </row>
    <row r="19" spans="1:7" s="1131" customFormat="1" ht="22.5" customHeight="1" thickBot="1" x14ac:dyDescent="0.35">
      <c r="A19" s="1473"/>
      <c r="B19" s="1474"/>
      <c r="C19" s="1474"/>
      <c r="D19" s="1474"/>
      <c r="E19" s="1475"/>
      <c r="F19" s="1476"/>
    </row>
    <row r="20" spans="1:7" s="432" customFormat="1" ht="39.75" customHeight="1" thickBot="1" x14ac:dyDescent="0.35">
      <c r="A20" s="1477"/>
      <c r="B20" s="1478" t="s">
        <v>532</v>
      </c>
      <c r="C20" s="1479"/>
      <c r="D20" s="1480"/>
      <c r="E20" s="1480"/>
      <c r="F20" s="1481"/>
    </row>
    <row r="21" spans="1:7" s="432" customFormat="1" ht="43.5" customHeight="1" thickBot="1" x14ac:dyDescent="0.35">
      <c r="A21" s="1449" t="s">
        <v>848</v>
      </c>
      <c r="B21" s="1450" t="s">
        <v>353</v>
      </c>
      <c r="C21" s="1451" t="s">
        <v>849</v>
      </c>
      <c r="D21" s="1450" t="s">
        <v>49</v>
      </c>
      <c r="E21" s="1452" t="s">
        <v>50</v>
      </c>
      <c r="F21" s="1453" t="s">
        <v>850</v>
      </c>
    </row>
    <row r="22" spans="1:7" s="1458" customFormat="1" ht="35.25" customHeight="1" x14ac:dyDescent="0.3">
      <c r="A22" s="1482">
        <v>10</v>
      </c>
      <c r="B22" s="1483" t="s">
        <v>859</v>
      </c>
      <c r="C22" s="1456">
        <v>5100000</v>
      </c>
      <c r="D22" s="1456">
        <v>1</v>
      </c>
      <c r="E22" s="1456">
        <f>C22*D22</f>
        <v>5100000</v>
      </c>
      <c r="F22" s="1484"/>
    </row>
    <row r="23" spans="1:7" s="1458" customFormat="1" ht="38.25" customHeight="1" x14ac:dyDescent="0.3">
      <c r="A23" s="1482">
        <v>11</v>
      </c>
      <c r="B23" s="1483" t="s">
        <v>860</v>
      </c>
      <c r="C23" s="1456">
        <v>4260000</v>
      </c>
      <c r="D23" s="1457">
        <v>2.2999999999999998</v>
      </c>
      <c r="E23" s="1456">
        <f>C23*D23</f>
        <v>9798000</v>
      </c>
      <c r="F23" s="1484"/>
    </row>
    <row r="24" spans="1:7" s="1458" customFormat="1" ht="28.5" customHeight="1" x14ac:dyDescent="0.3">
      <c r="A24" s="1482">
        <v>12</v>
      </c>
      <c r="B24" s="1483" t="s">
        <v>861</v>
      </c>
      <c r="C24" s="1456"/>
      <c r="D24" s="1456"/>
      <c r="E24" s="1456">
        <v>8598000</v>
      </c>
      <c r="F24" s="1484"/>
    </row>
    <row r="25" spans="1:7" s="1132" customFormat="1" ht="20.25" customHeight="1" thickBot="1" x14ac:dyDescent="0.35">
      <c r="A25" s="1482">
        <v>13</v>
      </c>
      <c r="B25" s="1485" t="s">
        <v>57</v>
      </c>
      <c r="C25" s="443">
        <f>116744131/880</f>
        <v>132663.78522727272</v>
      </c>
      <c r="D25" s="1486">
        <v>18</v>
      </c>
      <c r="E25" s="1486">
        <f>C25*D25</f>
        <v>2387948.1340909088</v>
      </c>
      <c r="F25" s="1481"/>
    </row>
    <row r="26" spans="1:7" s="1132" customFormat="1" ht="24.9" customHeight="1" x14ac:dyDescent="0.3">
      <c r="A26" s="1487">
        <v>14</v>
      </c>
      <c r="B26" s="1874" t="s">
        <v>634</v>
      </c>
      <c r="C26" s="1875"/>
      <c r="D26" s="1876"/>
      <c r="E26" s="1488">
        <f>SUM(E22:E25)</f>
        <v>25883948.134090908</v>
      </c>
      <c r="F26" s="1481"/>
    </row>
    <row r="27" spans="1:7" s="1132" customFormat="1" ht="24.9" customHeight="1" x14ac:dyDescent="0.3">
      <c r="A27" s="1877"/>
      <c r="B27" s="1878"/>
      <c r="C27" s="1878"/>
      <c r="D27" s="1878"/>
      <c r="E27" s="1879"/>
      <c r="F27" s="1481"/>
    </row>
    <row r="28" spans="1:7" s="439" customFormat="1" ht="39.75" customHeight="1" thickBot="1" x14ac:dyDescent="0.35">
      <c r="A28" s="1489"/>
      <c r="B28" s="1490" t="s">
        <v>862</v>
      </c>
      <c r="C28" s="1490"/>
      <c r="D28" s="1491"/>
      <c r="E28" s="1492"/>
    </row>
    <row r="29" spans="1:7" s="432" customFormat="1" ht="31.5" customHeight="1" thickBot="1" x14ac:dyDescent="0.35">
      <c r="A29" s="1493" t="s">
        <v>848</v>
      </c>
      <c r="B29" s="1494" t="s">
        <v>353</v>
      </c>
      <c r="C29" s="1495" t="s">
        <v>849</v>
      </c>
      <c r="D29" s="1494" t="s">
        <v>49</v>
      </c>
      <c r="E29" s="1496" t="s">
        <v>50</v>
      </c>
      <c r="F29" s="1453" t="s">
        <v>850</v>
      </c>
    </row>
    <row r="30" spans="1:7" s="1134" customFormat="1" ht="24.9" customHeight="1" thickBot="1" x14ac:dyDescent="0.35">
      <c r="A30" s="1482">
        <v>15</v>
      </c>
      <c r="B30" s="1497" t="s">
        <v>58</v>
      </c>
      <c r="C30" s="443">
        <f>116744131/880</f>
        <v>132663.78522727272</v>
      </c>
      <c r="D30" s="1486">
        <v>364</v>
      </c>
      <c r="E30" s="1498">
        <f>D30*C30</f>
        <v>48289617.82272727</v>
      </c>
      <c r="F30" s="1481"/>
      <c r="G30" s="440"/>
    </row>
    <row r="31" spans="1:7" s="1134" customFormat="1" ht="24.9" customHeight="1" x14ac:dyDescent="0.3">
      <c r="A31" s="1499">
        <v>16</v>
      </c>
      <c r="B31" s="1874" t="s">
        <v>863</v>
      </c>
      <c r="C31" s="1875"/>
      <c r="D31" s="1876"/>
      <c r="E31" s="1488">
        <f>SUM(E30)</f>
        <v>48289617.82272727</v>
      </c>
      <c r="F31" s="1481"/>
      <c r="G31" s="440"/>
    </row>
    <row r="32" spans="1:7" s="1134" customFormat="1" ht="24.9" customHeight="1" x14ac:dyDescent="0.3">
      <c r="A32" s="1866"/>
      <c r="B32" s="1867"/>
      <c r="C32" s="1867"/>
      <c r="D32" s="1867"/>
      <c r="E32" s="1868"/>
      <c r="F32" s="1481"/>
      <c r="G32" s="440"/>
    </row>
    <row r="33" spans="1:7" s="432" customFormat="1" ht="39" customHeight="1" thickBot="1" x14ac:dyDescent="0.35">
      <c r="A33" s="1134"/>
      <c r="B33" s="1500" t="s">
        <v>59</v>
      </c>
      <c r="C33" s="1501"/>
      <c r="D33" s="1502"/>
      <c r="E33" s="1502"/>
      <c r="F33" s="1132"/>
    </row>
    <row r="34" spans="1:7" s="432" customFormat="1" ht="39.75" customHeight="1" thickBot="1" x14ac:dyDescent="0.35">
      <c r="A34" s="1449" t="s">
        <v>848</v>
      </c>
      <c r="B34" s="1450" t="s">
        <v>353</v>
      </c>
      <c r="C34" s="1451" t="s">
        <v>849</v>
      </c>
      <c r="D34" s="1450" t="s">
        <v>49</v>
      </c>
      <c r="E34" s="1452" t="s">
        <v>50</v>
      </c>
      <c r="F34" s="1453" t="s">
        <v>850</v>
      </c>
    </row>
    <row r="35" spans="1:7" s="432" customFormat="1" ht="24.6" customHeight="1" x14ac:dyDescent="0.3">
      <c r="A35" s="1482">
        <v>17</v>
      </c>
      <c r="B35" s="1503" t="s">
        <v>931</v>
      </c>
      <c r="C35" s="1533"/>
      <c r="D35" s="1605"/>
      <c r="E35" s="1456">
        <v>28144069</v>
      </c>
      <c r="F35" s="1606"/>
    </row>
    <row r="36" spans="1:7" s="1458" customFormat="1" ht="24.9" customHeight="1" x14ac:dyDescent="0.3">
      <c r="A36" s="1482">
        <v>18</v>
      </c>
      <c r="B36" s="1503" t="s">
        <v>864</v>
      </c>
      <c r="C36" s="1456">
        <v>4100000</v>
      </c>
      <c r="D36" s="1456" t="s">
        <v>865</v>
      </c>
      <c r="E36" s="1456">
        <v>15580000</v>
      </c>
    </row>
    <row r="37" spans="1:7" s="1505" customFormat="1" ht="24.9" customHeight="1" x14ac:dyDescent="0.3">
      <c r="A37" s="1482">
        <v>19</v>
      </c>
      <c r="B37" s="1503" t="s">
        <v>866</v>
      </c>
      <c r="C37" s="1456">
        <v>3650000</v>
      </c>
      <c r="D37" s="1456" t="s">
        <v>865</v>
      </c>
      <c r="E37" s="1456">
        <v>29200000</v>
      </c>
      <c r="F37" s="1504"/>
    </row>
    <row r="38" spans="1:7" s="1505" customFormat="1" ht="24.9" customHeight="1" x14ac:dyDescent="0.3">
      <c r="A38" s="1482">
        <v>20</v>
      </c>
      <c r="B38" s="1503" t="s">
        <v>867</v>
      </c>
      <c r="C38" s="1456">
        <v>72996</v>
      </c>
      <c r="D38" s="1456">
        <v>80</v>
      </c>
      <c r="E38" s="1456">
        <f t="shared" ref="E38:E43" si="1">C38*D38</f>
        <v>5839680</v>
      </c>
      <c r="F38" s="1504"/>
    </row>
    <row r="39" spans="1:7" s="1505" customFormat="1" ht="24.9" customHeight="1" x14ac:dyDescent="0.3">
      <c r="A39" s="1482">
        <v>21</v>
      </c>
      <c r="B39" s="1503" t="s">
        <v>868</v>
      </c>
      <c r="C39" s="1456">
        <v>25000</v>
      </c>
      <c r="D39" s="1456">
        <v>1</v>
      </c>
      <c r="E39" s="1456">
        <f t="shared" si="1"/>
        <v>25000</v>
      </c>
      <c r="F39" s="1504"/>
    </row>
    <row r="40" spans="1:7" s="1505" customFormat="1" ht="24.9" customHeight="1" x14ac:dyDescent="0.3">
      <c r="A40" s="1482">
        <v>22</v>
      </c>
      <c r="B40" s="1503" t="s">
        <v>869</v>
      </c>
      <c r="C40" s="1456">
        <v>471900</v>
      </c>
      <c r="D40" s="1456">
        <v>26</v>
      </c>
      <c r="E40" s="1456">
        <f t="shared" si="1"/>
        <v>12269400</v>
      </c>
      <c r="F40" s="1504"/>
    </row>
    <row r="41" spans="1:7" s="1505" customFormat="1" ht="24.9" customHeight="1" x14ac:dyDescent="0.3">
      <c r="A41" s="1482">
        <v>23</v>
      </c>
      <c r="B41" s="1503" t="s">
        <v>870</v>
      </c>
      <c r="C41" s="1456">
        <v>325500</v>
      </c>
      <c r="D41" s="1456">
        <v>22</v>
      </c>
      <c r="E41" s="1456">
        <f t="shared" si="1"/>
        <v>7161000</v>
      </c>
      <c r="F41" s="1504"/>
    </row>
    <row r="42" spans="1:7" s="1505" customFormat="1" ht="24.9" customHeight="1" x14ac:dyDescent="0.3">
      <c r="A42" s="1482">
        <v>24</v>
      </c>
      <c r="B42" s="1503" t="s">
        <v>871</v>
      </c>
      <c r="C42" s="1456">
        <v>805200</v>
      </c>
      <c r="D42" s="1456">
        <v>8</v>
      </c>
      <c r="E42" s="1456">
        <f t="shared" si="1"/>
        <v>6441600</v>
      </c>
      <c r="F42" s="1504"/>
    </row>
    <row r="43" spans="1:7" s="1505" customFormat="1" ht="15.6" x14ac:dyDescent="0.3">
      <c r="A43" s="1482">
        <v>25</v>
      </c>
      <c r="B43" s="1503" t="s">
        <v>872</v>
      </c>
      <c r="C43" s="1456">
        <v>4234040</v>
      </c>
      <c r="D43" s="1456">
        <v>3</v>
      </c>
      <c r="E43" s="1456">
        <f t="shared" si="1"/>
        <v>12702120</v>
      </c>
      <c r="F43" s="1504"/>
    </row>
    <row r="44" spans="1:7" s="1505" customFormat="1" ht="24.9" customHeight="1" x14ac:dyDescent="0.3">
      <c r="A44" s="1482">
        <v>26</v>
      </c>
      <c r="B44" s="1503" t="s">
        <v>873</v>
      </c>
      <c r="C44" s="1506"/>
      <c r="D44" s="1506"/>
      <c r="E44" s="1456">
        <v>10320000</v>
      </c>
      <c r="F44" s="1504"/>
    </row>
    <row r="45" spans="1:7" s="1134" customFormat="1" ht="24.9" customHeight="1" thickBot="1" x14ac:dyDescent="0.35">
      <c r="A45" s="1507">
        <v>27</v>
      </c>
      <c r="B45" s="1485" t="s">
        <v>58</v>
      </c>
      <c r="C45" s="443">
        <f>116744131/880</f>
        <v>132663.78522727272</v>
      </c>
      <c r="D45" s="1486">
        <v>2</v>
      </c>
      <c r="E45" s="1486">
        <f>C45*D45</f>
        <v>265327.57045454544</v>
      </c>
      <c r="F45" s="1135">
        <f>E22+E23+E24+E36+E37+E38+E39+E40+E41+E42+E43+E44</f>
        <v>123034800</v>
      </c>
    </row>
    <row r="46" spans="1:7" s="1134" customFormat="1" ht="24.75" customHeight="1" x14ac:dyDescent="0.3">
      <c r="A46" s="1507">
        <v>28</v>
      </c>
      <c r="B46" s="1874" t="s">
        <v>73</v>
      </c>
      <c r="C46" s="1875"/>
      <c r="D46" s="1876"/>
      <c r="E46" s="1488">
        <f>SUM(E35:E45)</f>
        <v>127948196.57045455</v>
      </c>
      <c r="F46" s="1481"/>
      <c r="G46" s="1135"/>
    </row>
    <row r="47" spans="1:7" s="1134" customFormat="1" ht="24.75" customHeight="1" x14ac:dyDescent="0.3">
      <c r="A47" s="1866"/>
      <c r="B47" s="1867"/>
      <c r="C47" s="1867"/>
      <c r="D47" s="1867"/>
      <c r="E47" s="1868"/>
      <c r="F47" s="1481"/>
      <c r="G47" s="1135"/>
    </row>
    <row r="48" spans="1:7" s="432" customFormat="1" ht="39.75" customHeight="1" thickBot="1" x14ac:dyDescent="0.35">
      <c r="A48" s="1132"/>
      <c r="B48" s="1508" t="s">
        <v>635</v>
      </c>
      <c r="C48" s="1509"/>
      <c r="D48" s="1502"/>
      <c r="E48" s="1502"/>
      <c r="F48" s="432" t="s">
        <v>874</v>
      </c>
      <c r="G48" s="1510">
        <f>116744131/880</f>
        <v>132663.78522727272</v>
      </c>
    </row>
    <row r="49" spans="1:6" s="432" customFormat="1" ht="39.75" customHeight="1" thickBot="1" x14ac:dyDescent="0.35">
      <c r="A49" s="1449" t="s">
        <v>848</v>
      </c>
      <c r="B49" s="1450" t="s">
        <v>353</v>
      </c>
      <c r="C49" s="1451" t="s">
        <v>849</v>
      </c>
      <c r="D49" s="1450" t="s">
        <v>49</v>
      </c>
      <c r="E49" s="1452" t="s">
        <v>50</v>
      </c>
      <c r="F49" s="1453" t="s">
        <v>850</v>
      </c>
    </row>
    <row r="50" spans="1:6" s="432" customFormat="1" ht="22.5" customHeight="1" thickBot="1" x14ac:dyDescent="0.35">
      <c r="A50" s="1507">
        <v>29</v>
      </c>
      <c r="B50" s="1489" t="s">
        <v>875</v>
      </c>
      <c r="C50" s="1511">
        <v>2170</v>
      </c>
      <c r="D50" s="1512"/>
      <c r="E50" s="1512">
        <v>31998820</v>
      </c>
    </row>
    <row r="51" spans="1:6" s="432" customFormat="1" ht="24.75" customHeight="1" thickBot="1" x14ac:dyDescent="0.35">
      <c r="A51" s="1507">
        <v>30</v>
      </c>
      <c r="B51" s="1869" t="s">
        <v>636</v>
      </c>
      <c r="C51" s="1870"/>
      <c r="D51" s="1871"/>
      <c r="E51" s="1513">
        <v>31998820</v>
      </c>
      <c r="F51" s="1514"/>
    </row>
    <row r="53" spans="1:6" x14ac:dyDescent="0.35">
      <c r="B53" s="1133"/>
      <c r="F53" s="443">
        <f>E17+E25+E30+E45</f>
        <v>116744131.00000001</v>
      </c>
    </row>
    <row r="54" spans="1:6" x14ac:dyDescent="0.35">
      <c r="A54" s="1515"/>
    </row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</sheetData>
  <mergeCells count="12">
    <mergeCell ref="A47:E47"/>
    <mergeCell ref="B51:D51"/>
    <mergeCell ref="A1:E1"/>
    <mergeCell ref="A2:E2"/>
    <mergeCell ref="A3:E3"/>
    <mergeCell ref="B18:D18"/>
    <mergeCell ref="B26:D26"/>
    <mergeCell ref="A27:E27"/>
    <mergeCell ref="B31:D31"/>
    <mergeCell ref="A32:E32"/>
    <mergeCell ref="B46:D46"/>
    <mergeCell ref="A5:E5"/>
  </mergeCells>
  <hyperlinks>
    <hyperlink ref="F1" location="Munka1!A1" display="Munka1!A1" xr:uid="{00000000-0004-0000-1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r:id="rId1"/>
  <headerFooter alignWithMargins="0"/>
  <rowBreaks count="1" manualBreakCount="1">
    <brk id="38" max="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8">
    <tabColor rgb="FF92D050"/>
    <pageSetUpPr fitToPage="1"/>
  </sheetPr>
  <dimension ref="A1:N87"/>
  <sheetViews>
    <sheetView view="pageBreakPreview" topLeftCell="A28" zoomScale="70" zoomScaleSheetLayoutView="70" workbookViewId="0">
      <selection activeCell="B14" sqref="B14"/>
    </sheetView>
  </sheetViews>
  <sheetFormatPr defaultColWidth="9.109375" defaultRowHeight="15.6" x14ac:dyDescent="0.3"/>
  <cols>
    <col min="1" max="1" width="9.109375" style="5"/>
    <col min="2" max="2" width="14.5546875" style="5" customWidth="1"/>
    <col min="3" max="3" width="85.6640625" style="5" customWidth="1"/>
    <col min="4" max="4" width="23.5546875" style="5" customWidth="1"/>
    <col min="5" max="5" width="23.109375" style="5" customWidth="1"/>
    <col min="6" max="6" width="24.33203125" style="5" customWidth="1"/>
    <col min="7" max="7" width="23" style="5" customWidth="1"/>
    <col min="8" max="9" width="13.33203125" style="5" hidden="1" customWidth="1"/>
    <col min="10" max="10" width="14.6640625" style="5" hidden="1" customWidth="1"/>
    <col min="11" max="11" width="12.5546875" style="5" hidden="1" customWidth="1"/>
    <col min="12" max="12" width="12.109375" style="5" hidden="1" customWidth="1"/>
    <col min="13" max="241" width="9.109375" style="5"/>
    <col min="242" max="242" width="92.5546875" style="5" customWidth="1"/>
    <col min="243" max="243" width="9.109375" style="5"/>
    <col min="244" max="244" width="16.44140625" style="5" customWidth="1"/>
    <col min="245" max="245" width="16" style="5" customWidth="1"/>
    <col min="246" max="246" width="16.6640625" style="5" customWidth="1"/>
    <col min="247" max="247" width="14.6640625" style="5" customWidth="1"/>
    <col min="248" max="16384" width="9.109375" style="5"/>
  </cols>
  <sheetData>
    <row r="1" spans="1:14" ht="21" x14ac:dyDescent="0.4">
      <c r="A1" s="1828" t="str">
        <f>Tartalomjegyzék_2021!A1</f>
        <v>Pilisvörösvár Város Önkormányzata Képviselő-testületének 1/2021. (II. 15.) önkormányzati rendelete</v>
      </c>
      <c r="B1" s="1830"/>
      <c r="C1" s="1830"/>
      <c r="D1" s="1830"/>
      <c r="E1" s="1830"/>
      <c r="F1" s="1830"/>
      <c r="G1" s="1831"/>
      <c r="H1" s="1362" t="s">
        <v>758</v>
      </c>
    </row>
    <row r="2" spans="1:14" ht="21" customHeight="1" x14ac:dyDescent="0.4">
      <c r="A2" s="550"/>
      <c r="B2" s="1828" t="str">
        <f>Tartalomjegyzék_2021!A2</f>
        <v>az Önkormányzat  2021. évi költségvetéséről</v>
      </c>
      <c r="C2" s="1828"/>
      <c r="D2" s="1828"/>
      <c r="E2" s="1828"/>
      <c r="F2" s="1828"/>
      <c r="G2" s="550"/>
    </row>
    <row r="3" spans="1:14" ht="21" customHeight="1" x14ac:dyDescent="0.35">
      <c r="A3" s="1828" t="str">
        <f>Tartalomjegyzék_2021!B22</f>
        <v>Pilisvörösvár Város Önkormányzata és a Pilisvörösvári Polgármesteri Hivatal közhatalmi és működési bevételei</v>
      </c>
      <c r="B3" s="1828"/>
      <c r="C3" s="1828"/>
      <c r="D3" s="1828"/>
      <c r="E3" s="1828"/>
      <c r="F3" s="1828"/>
      <c r="G3" s="1828"/>
    </row>
    <row r="4" spans="1:14" ht="23.25" customHeight="1" x14ac:dyDescent="0.4">
      <c r="A4" s="512"/>
      <c r="B4" s="512"/>
      <c r="C4" s="512"/>
      <c r="D4" s="512"/>
      <c r="E4" s="754"/>
      <c r="G4" s="687" t="s">
        <v>565</v>
      </c>
    </row>
    <row r="5" spans="1:14" ht="21" x14ac:dyDescent="0.35">
      <c r="C5" s="21"/>
      <c r="G5" s="720"/>
    </row>
    <row r="6" spans="1:14" ht="21.6" thickBot="1" x14ac:dyDescent="0.45">
      <c r="G6" s="688" t="s">
        <v>201</v>
      </c>
    </row>
    <row r="7" spans="1:14" s="1193" customFormat="1" ht="82.5" customHeight="1" thickBot="1" x14ac:dyDescent="0.35">
      <c r="A7" s="725" t="s">
        <v>3</v>
      </c>
      <c r="B7" s="1035" t="s">
        <v>242</v>
      </c>
      <c r="C7" s="648" t="s">
        <v>241</v>
      </c>
      <c r="D7" s="1035" t="str">
        <f>'2.Bevételek_részletes'!C7</f>
        <v>Önkormányzat 2020. évi eredeti előirányzat</v>
      </c>
      <c r="E7" s="1035" t="str">
        <f>'2.Bevételek_részletes'!D7</f>
        <v>Önkormányzat 2021. évi eredeti előirányzat</v>
      </c>
      <c r="F7" s="1774" t="str">
        <f>'2.Bevételek_részletes'!E7</f>
        <v>Polgármesteri Hivatal 2020. évi eredeti előirányzat</v>
      </c>
      <c r="G7" s="1775" t="str">
        <f>'2.Bevételek_részletes'!F7</f>
        <v>Polgármesteri Hivatal 2021. évi eredeti előirányzat</v>
      </c>
      <c r="H7" s="1192"/>
    </row>
    <row r="8" spans="1:14" s="1193" customFormat="1" ht="23.4" thickBot="1" x14ac:dyDescent="0.45">
      <c r="A8" s="1036">
        <v>1</v>
      </c>
      <c r="B8" s="1037" t="s">
        <v>80</v>
      </c>
      <c r="C8" s="289" t="s">
        <v>75</v>
      </c>
      <c r="D8" s="858">
        <v>82000</v>
      </c>
      <c r="E8" s="1776">
        <v>82000</v>
      </c>
      <c r="F8" s="1790"/>
      <c r="G8" s="1791"/>
      <c r="H8" s="1194"/>
      <c r="I8" s="1195"/>
      <c r="J8" s="44"/>
      <c r="K8" s="44"/>
      <c r="L8" s="44"/>
      <c r="M8" s="44"/>
      <c r="N8" s="44"/>
    </row>
    <row r="9" spans="1:14" s="1199" customFormat="1" ht="22.8" thickBot="1" x14ac:dyDescent="0.4">
      <c r="A9" s="1038">
        <v>2</v>
      </c>
      <c r="B9" s="1039" t="s">
        <v>113</v>
      </c>
      <c r="C9" s="649" t="s">
        <v>112</v>
      </c>
      <c r="D9" s="1024">
        <f>SUM(D8)</f>
        <v>82000</v>
      </c>
      <c r="E9" s="1778">
        <f>SUM(E8)</f>
        <v>82000</v>
      </c>
      <c r="F9" s="1794">
        <f>SUM(F8)</f>
        <v>0</v>
      </c>
      <c r="G9" s="1196">
        <f>SUM(G8)</f>
        <v>0</v>
      </c>
      <c r="H9" s="1197"/>
      <c r="I9" s="1198"/>
      <c r="J9" s="1198"/>
      <c r="K9" s="1198"/>
      <c r="L9" s="1198"/>
      <c r="M9" s="1198"/>
      <c r="N9" s="1198"/>
    </row>
    <row r="10" spans="1:14" s="1200" customFormat="1" ht="22.8" x14ac:dyDescent="0.4">
      <c r="A10" s="1040">
        <v>3</v>
      </c>
      <c r="B10" s="1041" t="s">
        <v>81</v>
      </c>
      <c r="C10" s="650" t="s">
        <v>76</v>
      </c>
      <c r="D10" s="651">
        <f>585000*1.034+4000+3000</f>
        <v>611890</v>
      </c>
      <c r="E10" s="1779">
        <v>489135</v>
      </c>
      <c r="F10" s="1792"/>
      <c r="G10" s="1793"/>
      <c r="I10" s="44"/>
      <c r="J10" s="44"/>
      <c r="K10" s="44"/>
      <c r="L10" s="44"/>
      <c r="M10" s="44"/>
      <c r="N10" s="44"/>
    </row>
    <row r="11" spans="1:14" s="1200" customFormat="1" ht="22.8" x14ac:dyDescent="0.4">
      <c r="A11" s="1040">
        <v>4</v>
      </c>
      <c r="B11" s="1041" t="s">
        <v>262</v>
      </c>
      <c r="C11" s="650" t="s">
        <v>411</v>
      </c>
      <c r="D11" s="651">
        <v>60000</v>
      </c>
      <c r="E11" s="1779">
        <v>0</v>
      </c>
      <c r="F11" s="1786"/>
      <c r="G11" s="846"/>
      <c r="I11" s="44"/>
      <c r="J11" s="44"/>
      <c r="K11" s="44"/>
      <c r="L11" s="44"/>
      <c r="M11" s="44"/>
      <c r="N11" s="44"/>
    </row>
    <row r="12" spans="1:14" s="1200" customFormat="1" ht="23.4" thickBot="1" x14ac:dyDescent="0.45">
      <c r="A12" s="1040">
        <v>5</v>
      </c>
      <c r="B12" s="1041" t="s">
        <v>591</v>
      </c>
      <c r="C12" s="650" t="s">
        <v>609</v>
      </c>
      <c r="D12" s="651">
        <v>2200</v>
      </c>
      <c r="E12" s="1779">
        <v>0</v>
      </c>
      <c r="F12" s="1795"/>
      <c r="G12" s="1796"/>
      <c r="I12" s="44"/>
      <c r="J12" s="44"/>
      <c r="K12" s="44"/>
      <c r="L12" s="44"/>
      <c r="M12" s="44"/>
      <c r="N12" s="44"/>
    </row>
    <row r="13" spans="1:14" s="1199" customFormat="1" ht="22.8" thickBot="1" x14ac:dyDescent="0.4">
      <c r="A13" s="1038">
        <v>6</v>
      </c>
      <c r="B13" s="1039" t="s">
        <v>82</v>
      </c>
      <c r="C13" s="649" t="s">
        <v>83</v>
      </c>
      <c r="D13" s="1024">
        <f>SUM(D10:D12)</f>
        <v>674090</v>
      </c>
      <c r="E13" s="1778">
        <f>SUM(E10:E12)</f>
        <v>489135</v>
      </c>
      <c r="F13" s="1794">
        <f>SUM(F10:F12)</f>
        <v>0</v>
      </c>
      <c r="G13" s="1196">
        <f>SUM(G10:G12)</f>
        <v>0</v>
      </c>
      <c r="H13" s="1197"/>
      <c r="I13" s="1198"/>
      <c r="J13" s="1198"/>
      <c r="K13" s="1198"/>
      <c r="L13" s="1198"/>
      <c r="M13" s="1198"/>
      <c r="N13" s="1198"/>
    </row>
    <row r="14" spans="1:14" s="1193" customFormat="1" ht="23.25" customHeight="1" x14ac:dyDescent="0.4">
      <c r="A14" s="1042">
        <v>7</v>
      </c>
      <c r="B14" s="1043" t="s">
        <v>698</v>
      </c>
      <c r="C14" s="262" t="s">
        <v>672</v>
      </c>
      <c r="D14" s="858">
        <v>0</v>
      </c>
      <c r="E14" s="1776">
        <v>0</v>
      </c>
      <c r="F14" s="1797"/>
      <c r="G14" s="849"/>
    </row>
    <row r="15" spans="1:14" s="1193" customFormat="1" ht="22.8" x14ac:dyDescent="0.4">
      <c r="A15" s="1042">
        <v>8</v>
      </c>
      <c r="B15" s="1044" t="s">
        <v>698</v>
      </c>
      <c r="C15" s="652" t="s">
        <v>77</v>
      </c>
      <c r="D15" s="858">
        <v>1500</v>
      </c>
      <c r="E15" s="1776">
        <v>1500</v>
      </c>
      <c r="F15" s="1787"/>
      <c r="G15" s="1026"/>
    </row>
    <row r="16" spans="1:14" s="1193" customFormat="1" ht="22.8" x14ac:dyDescent="0.4">
      <c r="A16" s="1042">
        <v>9</v>
      </c>
      <c r="B16" s="1125" t="s">
        <v>698</v>
      </c>
      <c r="C16" s="650" t="s">
        <v>590</v>
      </c>
      <c r="D16" s="1025">
        <v>1000</v>
      </c>
      <c r="E16" s="1780">
        <v>1000</v>
      </c>
      <c r="F16" s="1786"/>
      <c r="G16" s="846"/>
      <c r="I16" s="282"/>
      <c r="J16" s="277"/>
    </row>
    <row r="17" spans="1:11" s="1193" customFormat="1" ht="23.4" thickBot="1" x14ac:dyDescent="0.45">
      <c r="A17" s="1045">
        <v>10</v>
      </c>
      <c r="B17" s="1126" t="s">
        <v>698</v>
      </c>
      <c r="C17" s="650" t="s">
        <v>699</v>
      </c>
      <c r="D17" s="1427">
        <v>60</v>
      </c>
      <c r="E17" s="1781">
        <v>0</v>
      </c>
      <c r="F17" s="1795"/>
      <c r="G17" s="1796"/>
      <c r="I17" s="282"/>
      <c r="J17" s="277"/>
    </row>
    <row r="18" spans="1:11" s="1199" customFormat="1" ht="22.8" thickBot="1" x14ac:dyDescent="0.4">
      <c r="A18" s="1038">
        <v>11</v>
      </c>
      <c r="B18" s="1039" t="s">
        <v>263</v>
      </c>
      <c r="C18" s="649" t="s">
        <v>78</v>
      </c>
      <c r="D18" s="1024">
        <f>SUM(D15:D17)</f>
        <v>2560</v>
      </c>
      <c r="E18" s="1778">
        <f>SUM(E14:E17)</f>
        <v>2500</v>
      </c>
      <c r="F18" s="1794">
        <f>SUM(F14:F17)</f>
        <v>0</v>
      </c>
      <c r="G18" s="1196">
        <f>SUM(G14:G17)</f>
        <v>0</v>
      </c>
      <c r="H18" s="1197"/>
      <c r="I18" s="282"/>
      <c r="J18" s="277"/>
    </row>
    <row r="19" spans="1:11" ht="23.4" thickBot="1" x14ac:dyDescent="0.45">
      <c r="A19" s="1046">
        <v>12</v>
      </c>
      <c r="B19" s="1047" t="s">
        <v>265</v>
      </c>
      <c r="C19" s="653" t="s">
        <v>264</v>
      </c>
      <c r="D19" s="654">
        <f>D9+D13+D18</f>
        <v>758650</v>
      </c>
      <c r="E19" s="1782">
        <f>E9+E13+E18</f>
        <v>573635</v>
      </c>
      <c r="F19" s="1798">
        <f>F9+F13+F18</f>
        <v>0</v>
      </c>
      <c r="G19" s="847">
        <f>G9+G13+G18</f>
        <v>0</v>
      </c>
      <c r="I19" s="282"/>
      <c r="J19" s="277"/>
    </row>
    <row r="20" spans="1:11" s="1193" customFormat="1" ht="22.8" x14ac:dyDescent="0.4">
      <c r="A20" s="1042">
        <v>13</v>
      </c>
      <c r="B20" s="1043"/>
      <c r="C20" s="262" t="s">
        <v>2</v>
      </c>
      <c r="D20" s="858">
        <v>0</v>
      </c>
      <c r="E20" s="1776"/>
      <c r="F20" s="1797"/>
      <c r="G20" s="849"/>
      <c r="I20" s="1127"/>
      <c r="J20" s="1128"/>
    </row>
    <row r="21" spans="1:11" s="1202" customFormat="1" ht="22.8" x14ac:dyDescent="0.4">
      <c r="A21" s="1045">
        <v>14</v>
      </c>
      <c r="B21" s="1048"/>
      <c r="C21" s="567" t="s">
        <v>597</v>
      </c>
      <c r="D21" s="858"/>
      <c r="E21" s="1776"/>
      <c r="F21" s="1787">
        <v>1274</v>
      </c>
      <c r="G21" s="1026"/>
      <c r="H21" s="1201"/>
      <c r="I21" s="1373"/>
      <c r="J21" s="1128"/>
    </row>
    <row r="22" spans="1:11" s="1202" customFormat="1" ht="23.4" thickBot="1" x14ac:dyDescent="0.45">
      <c r="A22" s="1049">
        <v>15</v>
      </c>
      <c r="B22" s="1044"/>
      <c r="C22" s="652" t="s">
        <v>621</v>
      </c>
      <c r="D22" s="858">
        <f>2455497*1.27*1.034/1000+390</f>
        <v>3614.5095504599999</v>
      </c>
      <c r="E22" s="1776">
        <v>2851</v>
      </c>
      <c r="F22" s="1799"/>
      <c r="G22" s="1428"/>
    </row>
    <row r="23" spans="1:11" s="1202" customFormat="1" ht="23.4" thickBot="1" x14ac:dyDescent="0.45">
      <c r="A23" s="1050">
        <v>16</v>
      </c>
      <c r="B23" s="1051" t="s">
        <v>90</v>
      </c>
      <c r="C23" s="288" t="s">
        <v>266</v>
      </c>
      <c r="D23" s="655">
        <f>SUM(D20:D22)</f>
        <v>3614.5095504599999</v>
      </c>
      <c r="E23" s="1783">
        <f>SUM(E20:E22)</f>
        <v>2851</v>
      </c>
      <c r="F23" s="1801">
        <f>SUM(F20:F22)</f>
        <v>1274</v>
      </c>
      <c r="G23" s="848">
        <f>SUM(G20:G22)</f>
        <v>0</v>
      </c>
    </row>
    <row r="24" spans="1:11" s="1203" customFormat="1" ht="22.8" x14ac:dyDescent="0.3">
      <c r="A24" s="1036">
        <v>17</v>
      </c>
      <c r="B24" s="1052"/>
      <c r="C24" s="859" t="s">
        <v>986</v>
      </c>
      <c r="D24" s="1027">
        <f>(1936632+25556916+680892+4425514+3665600+27600+3329600+448000+5571354)/1000</f>
        <v>45642.108</v>
      </c>
      <c r="E24" s="1784">
        <f>1801+23999+4642+1500+3300+5940</f>
        <v>41182</v>
      </c>
      <c r="F24" s="1800"/>
      <c r="G24" s="1028"/>
    </row>
    <row r="25" spans="1:11" s="1202" customFormat="1" ht="22.8" x14ac:dyDescent="0.4">
      <c r="A25" s="1042">
        <v>18</v>
      </c>
      <c r="B25" s="1043"/>
      <c r="C25" s="262" t="s">
        <v>91</v>
      </c>
      <c r="D25" s="1025">
        <f>11132035*1.27/1000+1415</f>
        <v>15552.684450000001</v>
      </c>
      <c r="E25" s="1780">
        <v>11362</v>
      </c>
      <c r="F25" s="1787"/>
      <c r="G25" s="1026"/>
    </row>
    <row r="26" spans="1:11" s="1202" customFormat="1" ht="22.8" x14ac:dyDescent="0.4">
      <c r="A26" s="1036">
        <v>19</v>
      </c>
      <c r="B26" s="1043"/>
      <c r="C26" s="262" t="s">
        <v>577</v>
      </c>
      <c r="D26" s="858">
        <f>(4*20000)*1.27/1000</f>
        <v>101.6</v>
      </c>
      <c r="E26" s="1776">
        <v>102</v>
      </c>
      <c r="F26" s="1787"/>
      <c r="G26" s="1026"/>
    </row>
    <row r="27" spans="1:11" s="1202" customFormat="1" ht="22.8" x14ac:dyDescent="0.4">
      <c r="A27" s="1042">
        <v>20</v>
      </c>
      <c r="B27" s="1043"/>
      <c r="C27" s="262" t="s">
        <v>772</v>
      </c>
      <c r="D27" s="858"/>
      <c r="E27" s="1776"/>
      <c r="F27" s="1787">
        <v>1863</v>
      </c>
      <c r="G27" s="1026">
        <v>1365</v>
      </c>
    </row>
    <row r="28" spans="1:11" s="1202" customFormat="1" ht="22.8" x14ac:dyDescent="0.4">
      <c r="A28" s="1036">
        <v>21</v>
      </c>
      <c r="B28" s="1043"/>
      <c r="C28" s="262" t="s">
        <v>492</v>
      </c>
      <c r="D28" s="858"/>
      <c r="E28" s="1776"/>
      <c r="F28" s="1787">
        <v>0</v>
      </c>
      <c r="G28" s="1026"/>
    </row>
    <row r="29" spans="1:11" s="1202" customFormat="1" ht="22.8" x14ac:dyDescent="0.4">
      <c r="A29" s="1042">
        <v>22</v>
      </c>
      <c r="B29" s="1043"/>
      <c r="C29" s="262" t="s">
        <v>523</v>
      </c>
      <c r="D29" s="858"/>
      <c r="E29" s="1776"/>
      <c r="F29" s="1787">
        <v>0</v>
      </c>
      <c r="G29" s="1026"/>
      <c r="K29" s="1204"/>
    </row>
    <row r="30" spans="1:11" s="1202" customFormat="1" ht="22.8" x14ac:dyDescent="0.4">
      <c r="A30" s="1036">
        <v>23</v>
      </c>
      <c r="B30" s="1043"/>
      <c r="C30" s="262" t="s">
        <v>521</v>
      </c>
      <c r="D30" s="858"/>
      <c r="E30" s="1776"/>
      <c r="F30" s="1787">
        <v>0</v>
      </c>
      <c r="G30" s="1026"/>
      <c r="K30" s="1204"/>
    </row>
    <row r="31" spans="1:11" s="1200" customFormat="1" ht="22.8" x14ac:dyDescent="0.4">
      <c r="A31" s="1042">
        <v>24</v>
      </c>
      <c r="B31" s="1043"/>
      <c r="C31" s="262" t="s">
        <v>522</v>
      </c>
      <c r="D31" s="858"/>
      <c r="E31" s="1776"/>
      <c r="F31" s="1787">
        <v>0</v>
      </c>
      <c r="G31" s="1026"/>
      <c r="H31" s="1205"/>
      <c r="K31" s="1204"/>
    </row>
    <row r="32" spans="1:11" s="1200" customFormat="1" ht="23.4" thickBot="1" x14ac:dyDescent="0.45">
      <c r="A32" s="1036">
        <v>25</v>
      </c>
      <c r="B32" s="1044"/>
      <c r="C32" s="262" t="s">
        <v>594</v>
      </c>
      <c r="D32" s="858"/>
      <c r="E32" s="1776"/>
      <c r="F32" s="1799">
        <f>99449296*1.27*1.034/1000+12324</f>
        <v>142918.82652127999</v>
      </c>
      <c r="G32" s="1428">
        <v>130500</v>
      </c>
      <c r="H32" s="1205"/>
    </row>
    <row r="33" spans="1:12" s="1202" customFormat="1" ht="23.4" thickBot="1" x14ac:dyDescent="0.45">
      <c r="A33" s="1050">
        <v>26</v>
      </c>
      <c r="B33" s="1053" t="s">
        <v>608</v>
      </c>
      <c r="C33" s="288" t="s">
        <v>92</v>
      </c>
      <c r="D33" s="655">
        <f>SUM(D24:D32)</f>
        <v>61296.392449999999</v>
      </c>
      <c r="E33" s="1783">
        <f>SUM(E24:E32)</f>
        <v>52646</v>
      </c>
      <c r="F33" s="1801">
        <f>SUM(F24:F32)</f>
        <v>144781.82652127999</v>
      </c>
      <c r="G33" s="848">
        <f>SUM(G24:G32)</f>
        <v>131865</v>
      </c>
      <c r="H33" s="1205"/>
      <c r="I33" s="1200"/>
      <c r="J33" s="1200"/>
      <c r="K33" s="1200"/>
    </row>
    <row r="34" spans="1:12" s="1200" customFormat="1" ht="23.4" thickBot="1" x14ac:dyDescent="0.45">
      <c r="A34" s="1050">
        <v>27</v>
      </c>
      <c r="B34" s="1051" t="s">
        <v>88</v>
      </c>
      <c r="C34" s="288" t="s">
        <v>84</v>
      </c>
      <c r="D34" s="655">
        <f>7267070*(1.27+0.27)/1000</f>
        <v>11191.2878</v>
      </c>
      <c r="E34" s="1783">
        <f>2464+464+143+7630</f>
        <v>10701</v>
      </c>
      <c r="F34" s="1801">
        <f>(1001951/1000)*(1.27+0.27)</f>
        <v>1543.0045400000001</v>
      </c>
      <c r="G34" s="848">
        <v>1946</v>
      </c>
      <c r="H34" s="1205"/>
    </row>
    <row r="35" spans="1:12" s="1203" customFormat="1" ht="21.6" customHeight="1" x14ac:dyDescent="0.3">
      <c r="A35" s="1036">
        <v>28</v>
      </c>
      <c r="B35" s="1037"/>
      <c r="C35" s="1206" t="s">
        <v>85</v>
      </c>
      <c r="D35" s="1027">
        <v>75101</v>
      </c>
      <c r="E35" s="1784"/>
      <c r="F35" s="1800"/>
      <c r="G35" s="1028"/>
      <c r="H35" s="1207"/>
      <c r="I35" s="1208"/>
      <c r="J35" s="1208"/>
      <c r="K35" s="1208"/>
    </row>
    <row r="36" spans="1:12" s="1210" customFormat="1" ht="24" customHeight="1" x14ac:dyDescent="0.3">
      <c r="A36" s="1042">
        <v>29</v>
      </c>
      <c r="B36" s="1043"/>
      <c r="C36" s="262" t="s">
        <v>79</v>
      </c>
      <c r="D36" s="1027">
        <v>6509</v>
      </c>
      <c r="E36" s="1784">
        <v>6509</v>
      </c>
      <c r="F36" s="1788"/>
      <c r="G36" s="1789"/>
      <c r="H36" s="1209"/>
      <c r="I36" s="1203"/>
      <c r="J36" s="1203"/>
      <c r="K36" s="1203"/>
    </row>
    <row r="37" spans="1:12" s="1203" customFormat="1" ht="22.5" customHeight="1" thickBot="1" x14ac:dyDescent="0.35">
      <c r="A37" s="1042">
        <v>30</v>
      </c>
      <c r="B37" s="1048"/>
      <c r="C37" s="1211" t="s">
        <v>697</v>
      </c>
      <c r="D37" s="1027">
        <v>0</v>
      </c>
      <c r="E37" s="1784"/>
      <c r="F37" s="1802"/>
      <c r="G37" s="1803"/>
      <c r="H37" s="1200"/>
      <c r="I37" s="1200"/>
      <c r="J37" s="1200"/>
      <c r="K37" s="1200"/>
      <c r="L37" s="1200"/>
    </row>
    <row r="38" spans="1:12" s="1202" customFormat="1" ht="23.25" customHeight="1" thickBot="1" x14ac:dyDescent="0.45">
      <c r="A38" s="1050">
        <v>31</v>
      </c>
      <c r="B38" s="1051" t="s">
        <v>272</v>
      </c>
      <c r="C38" s="288" t="s">
        <v>271</v>
      </c>
      <c r="D38" s="655">
        <f>SUM(D35:D37)</f>
        <v>81610</v>
      </c>
      <c r="E38" s="1783">
        <f>SUM(E35:E37)</f>
        <v>6509</v>
      </c>
      <c r="F38" s="1801">
        <f>SUM(F35:F37)</f>
        <v>0</v>
      </c>
      <c r="G38" s="848">
        <f>SUM(G35:G37)</f>
        <v>0</v>
      </c>
      <c r="H38" s="1200"/>
      <c r="I38" s="1200"/>
      <c r="J38" s="1200"/>
      <c r="K38" s="1200"/>
      <c r="L38" s="1200"/>
    </row>
    <row r="39" spans="1:12" s="1202" customFormat="1" ht="22.8" x14ac:dyDescent="0.4">
      <c r="A39" s="1036">
        <v>32</v>
      </c>
      <c r="B39" s="1054"/>
      <c r="C39" s="657" t="s">
        <v>770</v>
      </c>
      <c r="D39" s="858"/>
      <c r="E39" s="1776"/>
      <c r="F39" s="1797">
        <f>(20609222.4+317423)/1000</f>
        <v>20926.645399999998</v>
      </c>
      <c r="G39" s="849">
        <v>26500</v>
      </c>
      <c r="H39" s="1200"/>
      <c r="I39" s="1200"/>
      <c r="J39" s="1200"/>
      <c r="K39" s="1200"/>
      <c r="L39" s="1200"/>
    </row>
    <row r="40" spans="1:12" s="1200" customFormat="1" ht="23.4" thickBot="1" x14ac:dyDescent="0.45">
      <c r="A40" s="1042">
        <v>33</v>
      </c>
      <c r="B40" s="1055"/>
      <c r="C40" s="262" t="s">
        <v>771</v>
      </c>
      <c r="D40" s="858"/>
      <c r="E40" s="1776"/>
      <c r="F40" s="1799">
        <v>0</v>
      </c>
      <c r="G40" s="1428"/>
    </row>
    <row r="41" spans="1:12" s="1193" customFormat="1" ht="23.4" thickBot="1" x14ac:dyDescent="0.45">
      <c r="A41" s="1050">
        <v>34</v>
      </c>
      <c r="B41" s="1051" t="s">
        <v>274</v>
      </c>
      <c r="C41" s="288" t="s">
        <v>273</v>
      </c>
      <c r="D41" s="655">
        <f>SUM(D39:D40)</f>
        <v>0</v>
      </c>
      <c r="E41" s="1783">
        <f>SUM(E39:E40)</f>
        <v>0</v>
      </c>
      <c r="F41" s="1801">
        <f>SUM(F39:F40)</f>
        <v>20926.645399999998</v>
      </c>
      <c r="G41" s="848">
        <f>SUM(G39:G40)</f>
        <v>26500</v>
      </c>
      <c r="H41" s="1200"/>
      <c r="I41" s="1200"/>
      <c r="J41" s="1200"/>
      <c r="K41" s="1200"/>
      <c r="L41" s="1200"/>
    </row>
    <row r="42" spans="1:12" s="1203" customFormat="1" ht="36.6" thickBot="1" x14ac:dyDescent="0.35">
      <c r="A42" s="1042">
        <v>35</v>
      </c>
      <c r="B42" s="1051" t="s">
        <v>52</v>
      </c>
      <c r="C42" s="656" t="s">
        <v>51</v>
      </c>
      <c r="D42" s="1027">
        <v>0</v>
      </c>
      <c r="E42" s="1784"/>
      <c r="F42" s="1804">
        <v>0</v>
      </c>
      <c r="G42" s="1129">
        <v>0</v>
      </c>
      <c r="H42" s="1200"/>
      <c r="I42" s="1200"/>
      <c r="J42" s="1200"/>
      <c r="K42" s="1200"/>
      <c r="L42" s="1200"/>
    </row>
    <row r="43" spans="1:12" s="1202" customFormat="1" ht="23.4" thickBot="1" x14ac:dyDescent="0.45">
      <c r="A43" s="1050">
        <v>36</v>
      </c>
      <c r="B43" s="1051" t="s">
        <v>275</v>
      </c>
      <c r="C43" s="656" t="s">
        <v>60</v>
      </c>
      <c r="D43" s="1029"/>
      <c r="E43" s="1785"/>
      <c r="F43" s="1777"/>
      <c r="G43" s="850"/>
      <c r="H43" s="1200"/>
      <c r="I43" s="1200"/>
      <c r="J43" s="1200"/>
      <c r="K43" s="1200"/>
    </row>
    <row r="44" spans="1:12" s="1200" customFormat="1" ht="22.8" x14ac:dyDescent="0.4">
      <c r="A44" s="1036">
        <v>37</v>
      </c>
      <c r="B44" s="1037"/>
      <c r="C44" s="262" t="s">
        <v>86</v>
      </c>
      <c r="D44" s="858">
        <v>0</v>
      </c>
      <c r="E44" s="1776"/>
      <c r="F44" s="1797"/>
      <c r="G44" s="849"/>
      <c r="H44" s="1193"/>
      <c r="I44" s="1193"/>
      <c r="J44" s="1193"/>
      <c r="K44" s="1193"/>
    </row>
    <row r="45" spans="1:12" s="1200" customFormat="1" ht="23.4" thickBot="1" x14ac:dyDescent="0.45">
      <c r="A45" s="1036">
        <v>38</v>
      </c>
      <c r="B45" s="1044"/>
      <c r="C45" s="262" t="s">
        <v>87</v>
      </c>
      <c r="D45" s="858">
        <v>40</v>
      </c>
      <c r="E45" s="1776">
        <v>0</v>
      </c>
      <c r="F45" s="1799"/>
      <c r="G45" s="1428"/>
      <c r="H45" s="1202"/>
      <c r="I45" s="1202"/>
      <c r="J45" s="1202"/>
      <c r="K45" s="1202"/>
    </row>
    <row r="46" spans="1:12" s="1200" customFormat="1" ht="23.4" thickBot="1" x14ac:dyDescent="0.45">
      <c r="A46" s="1050">
        <v>39</v>
      </c>
      <c r="B46" s="1051" t="s">
        <v>277</v>
      </c>
      <c r="C46" s="288" t="s">
        <v>276</v>
      </c>
      <c r="D46" s="655">
        <f>SUM(D44:D45)</f>
        <v>40</v>
      </c>
      <c r="E46" s="1783">
        <f>SUM(E44:E45)</f>
        <v>0</v>
      </c>
      <c r="F46" s="1801">
        <f>SUM(F44:F45)</f>
        <v>0</v>
      </c>
      <c r="G46" s="848">
        <f>SUM(G44:G45)</f>
        <v>0</v>
      </c>
    </row>
    <row r="47" spans="1:12" s="1193" customFormat="1" ht="23.4" thickBot="1" x14ac:dyDescent="0.45">
      <c r="A47" s="1050">
        <v>40</v>
      </c>
      <c r="B47" s="1056" t="s">
        <v>696</v>
      </c>
      <c r="C47" s="656" t="s">
        <v>1</v>
      </c>
      <c r="D47" s="858">
        <v>0</v>
      </c>
      <c r="E47" s="1776"/>
      <c r="F47" s="1805">
        <f>675*1.27+24</f>
        <v>881.25</v>
      </c>
      <c r="G47" s="1806">
        <v>400</v>
      </c>
      <c r="H47" s="1200"/>
      <c r="I47" s="1200"/>
      <c r="J47" s="1200"/>
      <c r="K47" s="1200"/>
    </row>
    <row r="48" spans="1:12" ht="23.4" thickBot="1" x14ac:dyDescent="0.45">
      <c r="A48" s="1046">
        <v>41</v>
      </c>
      <c r="B48" s="1047" t="s">
        <v>279</v>
      </c>
      <c r="C48" s="653" t="s">
        <v>1</v>
      </c>
      <c r="D48" s="654">
        <f>D23+D33+D34+D38+D41+D46+D43+D47+D42</f>
        <v>157752.18980046001</v>
      </c>
      <c r="E48" s="1782">
        <f>E23+E33+E34+E38+E41+E46+E43+E47+E42</f>
        <v>72707</v>
      </c>
      <c r="F48" s="1798">
        <f>F23+F33+F34+F38+F41+F46+F43+F47+F42</f>
        <v>169406.72646127999</v>
      </c>
      <c r="G48" s="847">
        <f>G23+G33+G34+G38+G41+G46+G43+G47+G42</f>
        <v>160711</v>
      </c>
      <c r="H48" s="22"/>
      <c r="I48" s="22"/>
      <c r="J48" s="22"/>
      <c r="K48" s="22"/>
    </row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</sheetData>
  <mergeCells count="3">
    <mergeCell ref="A1:G1"/>
    <mergeCell ref="B2:F2"/>
    <mergeCell ref="A3:G3"/>
  </mergeCells>
  <phoneticPr fontId="57" type="noConversion"/>
  <hyperlinks>
    <hyperlink ref="H1" location="Munka1!A1" display="Munka1!A1" xr:uid="{00000000-0004-0000-1100-000000000000}"/>
  </hyperlinks>
  <pageMargins left="0.25" right="0.25" top="0.75" bottom="0.75" header="0.3" footer="0.3"/>
  <pageSetup paperSize="9" scale="54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19">
    <tabColor rgb="FF92D050"/>
    <pageSetUpPr fitToPage="1"/>
  </sheetPr>
  <dimension ref="A1:U181"/>
  <sheetViews>
    <sheetView view="pageBreakPreview" topLeftCell="A22" zoomScale="75" zoomScaleSheetLayoutView="75" workbookViewId="0">
      <selection activeCell="B14" sqref="B14"/>
    </sheetView>
  </sheetViews>
  <sheetFormatPr defaultColWidth="9.109375" defaultRowHeight="15.6" x14ac:dyDescent="0.3"/>
  <cols>
    <col min="1" max="1" width="10.109375" style="40" customWidth="1"/>
    <col min="2" max="2" width="83.88671875" style="29" customWidth="1"/>
    <col min="3" max="4" width="27.44140625" style="29" customWidth="1"/>
    <col min="5" max="16384" width="9.109375" style="29"/>
  </cols>
  <sheetData>
    <row r="1" spans="1:21" ht="21" x14ac:dyDescent="0.4">
      <c r="A1" s="1828" t="str">
        <f>Tartalomjegyzék_2021!A1</f>
        <v>Pilisvörösvár Város Önkormányzata Képviselő-testületének 1/2021. (II. 15.) önkormányzati rendelete</v>
      </c>
      <c r="B1" s="1828"/>
      <c r="C1" s="1830"/>
      <c r="D1" s="1831"/>
      <c r="E1" s="1363" t="s">
        <v>758</v>
      </c>
    </row>
    <row r="2" spans="1:21" ht="21" customHeight="1" x14ac:dyDescent="0.4">
      <c r="A2" s="1828" t="str">
        <f>'13.- Költségvetési támogatások'!A2:C2</f>
        <v>az Önkormányzat  2021. évi költségvetéséről</v>
      </c>
      <c r="B2" s="1828"/>
      <c r="C2" s="1830"/>
      <c r="D2" s="1831"/>
    </row>
    <row r="3" spans="1:21" ht="21" x14ac:dyDescent="0.4">
      <c r="A3" s="690"/>
      <c r="B3" s="691"/>
      <c r="C3" s="692"/>
      <c r="D3" s="692"/>
    </row>
    <row r="4" spans="1:21" ht="21" customHeight="1" x14ac:dyDescent="0.4">
      <c r="A4" s="1828" t="str">
        <f>Tartalomjegyzék_2021!B23</f>
        <v>Pilisvörösvár Város Önkormányzata átvett pénzeszközei</v>
      </c>
      <c r="B4" s="1828"/>
      <c r="C4" s="1830"/>
      <c r="D4" s="1831"/>
    </row>
    <row r="5" spans="1:21" ht="21" x14ac:dyDescent="0.4">
      <c r="A5" s="341"/>
      <c r="B5" s="341"/>
      <c r="D5" s="687" t="s">
        <v>588</v>
      </c>
    </row>
    <row r="6" spans="1:21" s="35" customFormat="1" ht="21" x14ac:dyDescent="0.3">
      <c r="A6" s="342"/>
      <c r="B6" s="341"/>
      <c r="D6" s="720"/>
    </row>
    <row r="7" spans="1:21" ht="21" x14ac:dyDescent="0.4">
      <c r="A7" s="345"/>
      <c r="B7" s="346"/>
      <c r="D7" s="689" t="s">
        <v>236</v>
      </c>
      <c r="E7" s="26"/>
      <c r="F7" s="26"/>
      <c r="G7" s="27"/>
      <c r="H7" s="27"/>
      <c r="I7" s="27"/>
      <c r="J7" s="27"/>
      <c r="K7" s="27"/>
      <c r="L7" s="27"/>
      <c r="M7" s="27"/>
      <c r="N7" s="28"/>
      <c r="O7" s="28"/>
      <c r="P7" s="28"/>
      <c r="Q7" s="28"/>
      <c r="R7" s="28"/>
      <c r="S7" s="28"/>
      <c r="T7" s="28"/>
      <c r="U7" s="28"/>
    </row>
    <row r="8" spans="1:21" ht="34.799999999999997" x14ac:dyDescent="0.3">
      <c r="A8" s="334" t="s">
        <v>44</v>
      </c>
      <c r="B8" s="343" t="s">
        <v>237</v>
      </c>
      <c r="C8" s="344" t="str">
        <f>'15. Működési bev. (B3,B4)'!D7</f>
        <v>Önkormányzat 2020. évi eredeti előirányzat</v>
      </c>
      <c r="D8" s="344" t="str">
        <f>'15. Működési bev. (B3,B4)'!E7</f>
        <v>Önkormányzat 2021. évi eredeti előirányzat</v>
      </c>
      <c r="E8" s="26"/>
      <c r="F8" s="26"/>
      <c r="G8" s="27"/>
      <c r="H8" s="27"/>
      <c r="I8" s="27"/>
      <c r="J8" s="27"/>
      <c r="K8" s="27"/>
      <c r="L8" s="27"/>
      <c r="M8" s="27"/>
      <c r="N8" s="28"/>
      <c r="O8" s="28"/>
      <c r="P8" s="28"/>
      <c r="Q8" s="28"/>
      <c r="R8" s="28"/>
      <c r="S8" s="28"/>
      <c r="T8" s="28"/>
      <c r="U8" s="28"/>
    </row>
    <row r="9" spans="1:21" ht="43.5" customHeight="1" x14ac:dyDescent="0.3">
      <c r="A9" s="335">
        <v>1</v>
      </c>
      <c r="B9" s="290" t="s">
        <v>719</v>
      </c>
      <c r="C9" s="469">
        <v>0</v>
      </c>
      <c r="D9" s="469"/>
      <c r="E9" s="26"/>
      <c r="F9" s="26"/>
      <c r="G9" s="27"/>
      <c r="H9" s="27"/>
      <c r="I9" s="27"/>
      <c r="J9" s="27"/>
      <c r="K9" s="27"/>
      <c r="L9" s="27"/>
      <c r="M9" s="27"/>
      <c r="N9" s="28"/>
      <c r="O9" s="28"/>
      <c r="P9" s="28"/>
      <c r="Q9" s="28"/>
      <c r="R9" s="28"/>
      <c r="S9" s="28"/>
      <c r="T9" s="28"/>
      <c r="U9" s="28"/>
    </row>
    <row r="10" spans="1:21" ht="43.5" customHeight="1" x14ac:dyDescent="0.3">
      <c r="A10" s="335">
        <v>2</v>
      </c>
      <c r="B10" s="290" t="s">
        <v>27</v>
      </c>
      <c r="C10" s="469">
        <v>0</v>
      </c>
      <c r="D10" s="469"/>
      <c r="E10" s="30"/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</row>
    <row r="11" spans="1:21" ht="43.5" customHeight="1" x14ac:dyDescent="0.3">
      <c r="A11" s="335">
        <v>3</v>
      </c>
      <c r="B11" s="290" t="s">
        <v>28</v>
      </c>
      <c r="C11" s="469">
        <v>0</v>
      </c>
      <c r="D11" s="469"/>
      <c r="E11" s="30"/>
      <c r="F11" s="30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43.5" customHeight="1" x14ac:dyDescent="0.3">
      <c r="A12" s="335">
        <v>4</v>
      </c>
      <c r="B12" s="290" t="s">
        <v>29</v>
      </c>
      <c r="C12" s="469">
        <v>0</v>
      </c>
      <c r="D12" s="469"/>
      <c r="E12" s="30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ht="43.5" customHeight="1" x14ac:dyDescent="0.3">
      <c r="A13" s="335">
        <v>5</v>
      </c>
      <c r="B13" s="290" t="s">
        <v>30</v>
      </c>
      <c r="C13" s="469">
        <v>0</v>
      </c>
      <c r="D13" s="469"/>
      <c r="E13" s="26"/>
      <c r="F13" s="26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</row>
    <row r="14" spans="1:21" ht="43.5" customHeight="1" x14ac:dyDescent="0.3">
      <c r="A14" s="335">
        <v>6</v>
      </c>
      <c r="B14" s="290" t="s">
        <v>31</v>
      </c>
      <c r="C14" s="469">
        <v>0</v>
      </c>
      <c r="D14" s="469"/>
      <c r="E14" s="26"/>
      <c r="F14" s="26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</row>
    <row r="15" spans="1:21" ht="43.5" customHeight="1" x14ac:dyDescent="0.3">
      <c r="A15" s="335">
        <v>7</v>
      </c>
      <c r="B15" s="290" t="s">
        <v>32</v>
      </c>
      <c r="C15" s="469">
        <v>0</v>
      </c>
      <c r="D15" s="469"/>
      <c r="E15" s="26"/>
      <c r="F15" s="26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</row>
    <row r="16" spans="1:21" ht="43.5" customHeight="1" x14ac:dyDescent="0.3">
      <c r="A16" s="335">
        <v>8</v>
      </c>
      <c r="B16" s="290" t="s">
        <v>33</v>
      </c>
      <c r="C16" s="469">
        <v>0</v>
      </c>
      <c r="D16" s="469"/>
      <c r="E16" s="26"/>
      <c r="F16" s="26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</row>
    <row r="17" spans="1:21" s="35" customFormat="1" ht="43.5" customHeight="1" x14ac:dyDescent="0.3">
      <c r="A17" s="335">
        <v>9</v>
      </c>
      <c r="B17" s="290" t="s">
        <v>34</v>
      </c>
      <c r="C17" s="469">
        <v>0</v>
      </c>
      <c r="D17" s="469"/>
      <c r="E17" s="32"/>
      <c r="F17" s="32"/>
      <c r="G17" s="33"/>
      <c r="H17" s="33"/>
      <c r="I17" s="33"/>
      <c r="J17" s="33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ht="36" x14ac:dyDescent="0.3">
      <c r="A18" s="335">
        <v>10</v>
      </c>
      <c r="B18" s="290" t="s">
        <v>35</v>
      </c>
      <c r="C18" s="469">
        <v>0</v>
      </c>
      <c r="D18" s="469"/>
    </row>
    <row r="19" spans="1:21" ht="24.75" customHeight="1" x14ac:dyDescent="0.3">
      <c r="A19" s="336">
        <v>11</v>
      </c>
      <c r="B19" s="337" t="s">
        <v>55</v>
      </c>
      <c r="C19" s="470">
        <f>SUM(C9:C18)</f>
        <v>0</v>
      </c>
      <c r="D19" s="470">
        <f>SUM(D9:D18)</f>
        <v>0</v>
      </c>
    </row>
    <row r="20" spans="1:21" s="35" customFormat="1" ht="16.8" x14ac:dyDescent="0.3">
      <c r="A20" s="146"/>
      <c r="B20" s="147"/>
      <c r="C20" s="29"/>
      <c r="D20" s="29"/>
    </row>
    <row r="21" spans="1:21" ht="16.8" x14ac:dyDescent="0.3">
      <c r="A21" s="146"/>
      <c r="B21" s="147"/>
      <c r="E21" s="30"/>
      <c r="F21" s="3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 ht="34.799999999999997" x14ac:dyDescent="0.3">
      <c r="A22" s="334" t="s">
        <v>44</v>
      </c>
      <c r="B22" s="343" t="str">
        <f>B8</f>
        <v>Megnevezés</v>
      </c>
      <c r="C22" s="344" t="str">
        <f>C8</f>
        <v>Önkormányzat 2020. évi eredeti előirányzat</v>
      </c>
      <c r="D22" s="344" t="str">
        <f>D8</f>
        <v>Önkormányzat 2021. évi eredeti előirányzat</v>
      </c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39" customHeight="1" x14ac:dyDescent="0.3">
      <c r="A23" s="335">
        <v>1</v>
      </c>
      <c r="B23" s="290" t="s">
        <v>36</v>
      </c>
      <c r="C23" s="471">
        <v>0</v>
      </c>
      <c r="D23" s="471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39" customHeight="1" x14ac:dyDescent="0.3">
      <c r="A24" s="335">
        <v>2</v>
      </c>
      <c r="B24" s="290" t="s">
        <v>37</v>
      </c>
      <c r="C24" s="471">
        <v>0</v>
      </c>
      <c r="D24" s="471"/>
      <c r="E24" s="30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39" customHeight="1" x14ac:dyDescent="0.3">
      <c r="A25" s="335">
        <v>3</v>
      </c>
      <c r="B25" s="290" t="s">
        <v>493</v>
      </c>
      <c r="C25" s="471">
        <v>112</v>
      </c>
      <c r="D25" s="471"/>
      <c r="E25" s="30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39" customHeight="1" x14ac:dyDescent="0.3">
      <c r="A26" s="335">
        <v>4</v>
      </c>
      <c r="B26" s="290" t="s">
        <v>38</v>
      </c>
      <c r="C26" s="471">
        <v>0</v>
      </c>
      <c r="D26" s="471"/>
      <c r="E26" s="30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39" customHeight="1" x14ac:dyDescent="0.3">
      <c r="A27" s="335">
        <v>5</v>
      </c>
      <c r="B27" s="290" t="s">
        <v>39</v>
      </c>
      <c r="C27" s="471">
        <v>0</v>
      </c>
      <c r="D27" s="471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39" customHeight="1" x14ac:dyDescent="0.3">
      <c r="A28" s="335">
        <v>6</v>
      </c>
      <c r="B28" s="290" t="s">
        <v>494</v>
      </c>
      <c r="C28" s="471">
        <v>0</v>
      </c>
      <c r="D28" s="471"/>
      <c r="E28" s="32"/>
      <c r="F28" s="32"/>
      <c r="G28" s="33"/>
      <c r="H28" s="33"/>
      <c r="I28" s="33"/>
      <c r="J28" s="33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39" customHeight="1" x14ac:dyDescent="0.3">
      <c r="A29" s="335">
        <v>7</v>
      </c>
      <c r="B29" s="290" t="s">
        <v>40</v>
      </c>
      <c r="C29" s="471">
        <v>0</v>
      </c>
      <c r="D29" s="471"/>
    </row>
    <row r="30" spans="1:21" ht="39" customHeight="1" x14ac:dyDescent="0.3">
      <c r="A30" s="335">
        <v>8</v>
      </c>
      <c r="B30" s="290" t="s">
        <v>41</v>
      </c>
      <c r="C30" s="471">
        <v>0</v>
      </c>
      <c r="D30" s="471"/>
    </row>
    <row r="31" spans="1:21" s="35" customFormat="1" ht="39" customHeight="1" x14ac:dyDescent="0.3">
      <c r="A31" s="335">
        <v>9</v>
      </c>
      <c r="B31" s="290" t="s">
        <v>42</v>
      </c>
      <c r="C31" s="471">
        <v>0</v>
      </c>
      <c r="D31" s="471"/>
    </row>
    <row r="32" spans="1:21" ht="36" x14ac:dyDescent="0.3">
      <c r="A32" s="335">
        <v>10</v>
      </c>
      <c r="B32" s="290" t="s">
        <v>43</v>
      </c>
      <c r="C32" s="471">
        <v>0</v>
      </c>
      <c r="D32" s="471"/>
    </row>
    <row r="33" spans="1:4" ht="22.8" x14ac:dyDescent="0.3">
      <c r="A33" s="336">
        <v>11</v>
      </c>
      <c r="B33" s="337" t="s">
        <v>56</v>
      </c>
      <c r="C33" s="472">
        <f>SUM(C23:C32)</f>
        <v>112</v>
      </c>
      <c r="D33" s="472">
        <f>SUM(D23:D32)</f>
        <v>0</v>
      </c>
    </row>
    <row r="34" spans="1:4" x14ac:dyDescent="0.3">
      <c r="A34" s="38"/>
      <c r="B34" s="36"/>
    </row>
    <row r="35" spans="1:4" x14ac:dyDescent="0.3">
      <c r="A35" s="38"/>
      <c r="B35" s="36"/>
    </row>
    <row r="36" spans="1:4" x14ac:dyDescent="0.3">
      <c r="A36" s="38"/>
      <c r="B36" s="39"/>
    </row>
    <row r="37" spans="1:4" x14ac:dyDescent="0.3">
      <c r="A37" s="38"/>
      <c r="B37" s="36"/>
    </row>
    <row r="38" spans="1:4" x14ac:dyDescent="0.3">
      <c r="A38" s="38"/>
      <c r="B38" s="36"/>
    </row>
    <row r="39" spans="1:4" x14ac:dyDescent="0.3">
      <c r="A39" s="38"/>
      <c r="B39" s="36"/>
    </row>
    <row r="40" spans="1:4" x14ac:dyDescent="0.3">
      <c r="A40" s="38"/>
      <c r="B40" s="36"/>
    </row>
    <row r="41" spans="1:4" x14ac:dyDescent="0.3">
      <c r="A41" s="38"/>
      <c r="B41" s="36"/>
    </row>
    <row r="42" spans="1:4" x14ac:dyDescent="0.3">
      <c r="A42" s="38"/>
      <c r="B42" s="36"/>
    </row>
    <row r="43" spans="1:4" x14ac:dyDescent="0.3">
      <c r="A43" s="38"/>
      <c r="B43" s="36"/>
    </row>
    <row r="44" spans="1:4" x14ac:dyDescent="0.3">
      <c r="A44" s="38"/>
      <c r="B44" s="36"/>
    </row>
    <row r="45" spans="1:4" x14ac:dyDescent="0.3">
      <c r="A45" s="38"/>
      <c r="B45" s="36"/>
    </row>
    <row r="46" spans="1:4" x14ac:dyDescent="0.3">
      <c r="A46" s="38"/>
      <c r="B46" s="36"/>
    </row>
    <row r="47" spans="1:4" x14ac:dyDescent="0.3">
      <c r="A47" s="38"/>
      <c r="B47" s="36"/>
    </row>
    <row r="48" spans="1:4" x14ac:dyDescent="0.3">
      <c r="A48" s="38"/>
      <c r="B48" s="36"/>
    </row>
    <row r="49" spans="1:2" x14ac:dyDescent="0.3">
      <c r="A49" s="38"/>
      <c r="B49" s="36"/>
    </row>
    <row r="50" spans="1:2" x14ac:dyDescent="0.3">
      <c r="A50" s="38"/>
      <c r="B50" s="36"/>
    </row>
    <row r="51" spans="1:2" x14ac:dyDescent="0.3">
      <c r="A51" s="38"/>
      <c r="B51" s="36"/>
    </row>
    <row r="52" spans="1:2" x14ac:dyDescent="0.3">
      <c r="A52" s="38"/>
      <c r="B52" s="36"/>
    </row>
    <row r="53" spans="1:2" x14ac:dyDescent="0.3">
      <c r="A53" s="38"/>
      <c r="B53" s="36"/>
    </row>
    <row r="54" spans="1:2" x14ac:dyDescent="0.3">
      <c r="A54" s="38"/>
      <c r="B54" s="36"/>
    </row>
    <row r="55" spans="1:2" x14ac:dyDescent="0.3">
      <c r="A55" s="38"/>
      <c r="B55" s="37"/>
    </row>
    <row r="56" spans="1:2" x14ac:dyDescent="0.3">
      <c r="A56" s="38"/>
      <c r="B56" s="37"/>
    </row>
    <row r="57" spans="1:2" x14ac:dyDescent="0.3">
      <c r="A57" s="38"/>
      <c r="B57" s="37"/>
    </row>
    <row r="58" spans="1:2" x14ac:dyDescent="0.3">
      <c r="A58" s="38"/>
      <c r="B58" s="37"/>
    </row>
    <row r="59" spans="1:2" x14ac:dyDescent="0.3">
      <c r="A59" s="38"/>
      <c r="B59" s="37"/>
    </row>
    <row r="60" spans="1:2" x14ac:dyDescent="0.3">
      <c r="A60" s="38"/>
      <c r="B60" s="37"/>
    </row>
    <row r="61" spans="1:2" x14ac:dyDescent="0.3">
      <c r="A61" s="38"/>
      <c r="B61" s="37"/>
    </row>
    <row r="64" spans="1:2" x14ac:dyDescent="0.3">
      <c r="A64" s="38"/>
      <c r="B64" s="37"/>
    </row>
    <row r="65" spans="1:2" x14ac:dyDescent="0.3">
      <c r="A65" s="38"/>
      <c r="B65" s="37"/>
    </row>
    <row r="66" spans="1:2" x14ac:dyDescent="0.3">
      <c r="A66" s="38"/>
      <c r="B66" s="37"/>
    </row>
    <row r="67" spans="1:2" x14ac:dyDescent="0.3">
      <c r="A67" s="38"/>
      <c r="B67" s="37"/>
    </row>
    <row r="68" spans="1:2" x14ac:dyDescent="0.3">
      <c r="A68" s="38"/>
      <c r="B68" s="37"/>
    </row>
    <row r="69" spans="1:2" x14ac:dyDescent="0.3">
      <c r="A69" s="38"/>
      <c r="B69" s="37"/>
    </row>
    <row r="70" spans="1:2" x14ac:dyDescent="0.3">
      <c r="A70" s="38"/>
      <c r="B70" s="37"/>
    </row>
    <row r="71" spans="1:2" x14ac:dyDescent="0.3">
      <c r="A71" s="38"/>
      <c r="B71" s="37"/>
    </row>
    <row r="72" spans="1:2" x14ac:dyDescent="0.3">
      <c r="A72" s="38"/>
      <c r="B72" s="37"/>
    </row>
    <row r="73" spans="1:2" x14ac:dyDescent="0.3">
      <c r="A73" s="38"/>
      <c r="B73" s="37"/>
    </row>
    <row r="74" spans="1:2" x14ac:dyDescent="0.3">
      <c r="A74" s="38"/>
      <c r="B74" s="37"/>
    </row>
    <row r="75" spans="1:2" x14ac:dyDescent="0.3">
      <c r="A75" s="38"/>
      <c r="B75" s="37"/>
    </row>
    <row r="76" spans="1:2" x14ac:dyDescent="0.3">
      <c r="A76" s="38"/>
      <c r="B76" s="37"/>
    </row>
    <row r="77" spans="1:2" x14ac:dyDescent="0.3">
      <c r="A77" s="38"/>
      <c r="B77" s="37"/>
    </row>
    <row r="78" spans="1:2" x14ac:dyDescent="0.3">
      <c r="A78" s="38"/>
      <c r="B78" s="37"/>
    </row>
    <row r="79" spans="1:2" x14ac:dyDescent="0.3">
      <c r="A79" s="38"/>
      <c r="B79" s="37"/>
    </row>
    <row r="80" spans="1:2" x14ac:dyDescent="0.3">
      <c r="A80" s="38"/>
      <c r="B80" s="37"/>
    </row>
    <row r="81" spans="1:2" x14ac:dyDescent="0.3">
      <c r="A81" s="38"/>
      <c r="B81" s="37"/>
    </row>
    <row r="82" spans="1:2" x14ac:dyDescent="0.3">
      <c r="A82" s="38"/>
      <c r="B82" s="37"/>
    </row>
    <row r="83" spans="1:2" x14ac:dyDescent="0.3">
      <c r="A83" s="38"/>
      <c r="B83" s="37"/>
    </row>
    <row r="84" spans="1:2" x14ac:dyDescent="0.3">
      <c r="A84" s="38"/>
      <c r="B84" s="37"/>
    </row>
    <row r="85" spans="1:2" x14ac:dyDescent="0.3">
      <c r="A85" s="38"/>
      <c r="B85" s="37"/>
    </row>
    <row r="86" spans="1:2" x14ac:dyDescent="0.3">
      <c r="A86" s="38"/>
      <c r="B86" s="37"/>
    </row>
    <row r="87" spans="1:2" x14ac:dyDescent="0.3">
      <c r="A87" s="38"/>
      <c r="B87" s="37"/>
    </row>
    <row r="88" spans="1:2" x14ac:dyDescent="0.3">
      <c r="A88" s="38"/>
      <c r="B88" s="37"/>
    </row>
    <row r="89" spans="1:2" x14ac:dyDescent="0.3">
      <c r="A89" s="38"/>
      <c r="B89" s="37"/>
    </row>
    <row r="90" spans="1:2" x14ac:dyDescent="0.3">
      <c r="A90" s="38"/>
      <c r="B90" s="37"/>
    </row>
    <row r="91" spans="1:2" x14ac:dyDescent="0.3">
      <c r="A91" s="38"/>
      <c r="B91" s="37"/>
    </row>
    <row r="92" spans="1:2" x14ac:dyDescent="0.3">
      <c r="A92" s="38"/>
      <c r="B92" s="37"/>
    </row>
    <row r="93" spans="1:2" x14ac:dyDescent="0.3">
      <c r="A93" s="38"/>
      <c r="B93" s="37"/>
    </row>
    <row r="94" spans="1:2" x14ac:dyDescent="0.3">
      <c r="A94" s="38"/>
      <c r="B94" s="37"/>
    </row>
    <row r="95" spans="1:2" x14ac:dyDescent="0.3">
      <c r="A95" s="38"/>
      <c r="B95" s="37"/>
    </row>
    <row r="96" spans="1:2" x14ac:dyDescent="0.3">
      <c r="A96" s="38"/>
      <c r="B96" s="37"/>
    </row>
    <row r="97" spans="1:2" x14ac:dyDescent="0.3">
      <c r="A97" s="38"/>
      <c r="B97" s="37"/>
    </row>
    <row r="98" spans="1:2" x14ac:dyDescent="0.3">
      <c r="A98" s="38"/>
      <c r="B98" s="37"/>
    </row>
    <row r="99" spans="1:2" x14ac:dyDescent="0.3">
      <c r="A99" s="38"/>
      <c r="B99" s="37"/>
    </row>
    <row r="100" spans="1:2" x14ac:dyDescent="0.3">
      <c r="A100" s="38"/>
      <c r="B100" s="37"/>
    </row>
    <row r="101" spans="1:2" x14ac:dyDescent="0.3">
      <c r="A101" s="38"/>
      <c r="B101" s="37"/>
    </row>
    <row r="102" spans="1:2" x14ac:dyDescent="0.3">
      <c r="A102" s="38"/>
      <c r="B102" s="37"/>
    </row>
    <row r="103" spans="1:2" x14ac:dyDescent="0.3">
      <c r="A103" s="38"/>
      <c r="B103" s="37"/>
    </row>
    <row r="104" spans="1:2" x14ac:dyDescent="0.3">
      <c r="A104" s="38"/>
      <c r="B104" s="37"/>
    </row>
    <row r="105" spans="1:2" x14ac:dyDescent="0.3">
      <c r="A105" s="38"/>
      <c r="B105" s="37"/>
    </row>
    <row r="106" spans="1:2" x14ac:dyDescent="0.3">
      <c r="A106" s="38"/>
      <c r="B106" s="37"/>
    </row>
    <row r="107" spans="1:2" x14ac:dyDescent="0.3">
      <c r="A107" s="38"/>
      <c r="B107" s="37"/>
    </row>
    <row r="108" spans="1:2" x14ac:dyDescent="0.3">
      <c r="A108" s="38"/>
      <c r="B108" s="37"/>
    </row>
    <row r="109" spans="1:2" x14ac:dyDescent="0.3">
      <c r="A109" s="38"/>
      <c r="B109" s="37"/>
    </row>
    <row r="110" spans="1:2" x14ac:dyDescent="0.3">
      <c r="A110" s="38"/>
      <c r="B110" s="37"/>
    </row>
    <row r="111" spans="1:2" x14ac:dyDescent="0.3">
      <c r="A111" s="38"/>
      <c r="B111" s="37"/>
    </row>
    <row r="112" spans="1:2" x14ac:dyDescent="0.3">
      <c r="A112" s="38"/>
      <c r="B112" s="37"/>
    </row>
    <row r="113" spans="1:2" x14ac:dyDescent="0.3">
      <c r="A113" s="38"/>
      <c r="B113" s="37"/>
    </row>
    <row r="114" spans="1:2" x14ac:dyDescent="0.3">
      <c r="A114" s="38"/>
      <c r="B114" s="37"/>
    </row>
    <row r="115" spans="1:2" x14ac:dyDescent="0.3">
      <c r="A115" s="38"/>
      <c r="B115" s="37"/>
    </row>
    <row r="116" spans="1:2" x14ac:dyDescent="0.3">
      <c r="A116" s="38"/>
      <c r="B116" s="37"/>
    </row>
    <row r="117" spans="1:2" x14ac:dyDescent="0.3">
      <c r="A117" s="38"/>
      <c r="B117" s="37"/>
    </row>
    <row r="118" spans="1:2" x14ac:dyDescent="0.3">
      <c r="A118" s="38"/>
      <c r="B118" s="37"/>
    </row>
    <row r="119" spans="1:2" x14ac:dyDescent="0.3">
      <c r="A119" s="38"/>
      <c r="B119" s="37"/>
    </row>
    <row r="120" spans="1:2" x14ac:dyDescent="0.3">
      <c r="A120" s="38"/>
      <c r="B120" s="37"/>
    </row>
    <row r="121" spans="1:2" x14ac:dyDescent="0.3">
      <c r="A121" s="38"/>
      <c r="B121" s="37"/>
    </row>
    <row r="122" spans="1:2" x14ac:dyDescent="0.3">
      <c r="A122" s="38"/>
      <c r="B122" s="37"/>
    </row>
    <row r="123" spans="1:2" x14ac:dyDescent="0.3">
      <c r="A123" s="38"/>
      <c r="B123" s="37"/>
    </row>
    <row r="124" spans="1:2" x14ac:dyDescent="0.3">
      <c r="A124" s="38"/>
      <c r="B124" s="37"/>
    </row>
    <row r="125" spans="1:2" x14ac:dyDescent="0.3">
      <c r="A125" s="38"/>
      <c r="B125" s="37"/>
    </row>
    <row r="126" spans="1:2" x14ac:dyDescent="0.3">
      <c r="A126" s="38"/>
      <c r="B126" s="37"/>
    </row>
    <row r="127" spans="1:2" x14ac:dyDescent="0.3">
      <c r="A127" s="38"/>
      <c r="B127" s="37"/>
    </row>
    <row r="128" spans="1:2" x14ac:dyDescent="0.3">
      <c r="A128" s="38"/>
      <c r="B128" s="37"/>
    </row>
    <row r="129" spans="1:2" x14ac:dyDescent="0.3">
      <c r="A129" s="38"/>
      <c r="B129" s="37"/>
    </row>
    <row r="130" spans="1:2" x14ac:dyDescent="0.3">
      <c r="A130" s="38"/>
      <c r="B130" s="37"/>
    </row>
    <row r="131" spans="1:2" x14ac:dyDescent="0.3">
      <c r="A131" s="38"/>
      <c r="B131" s="37"/>
    </row>
    <row r="132" spans="1:2" x14ac:dyDescent="0.3">
      <c r="A132" s="38"/>
      <c r="B132" s="37"/>
    </row>
    <row r="133" spans="1:2" x14ac:dyDescent="0.3">
      <c r="A133" s="38"/>
      <c r="B133" s="37"/>
    </row>
    <row r="134" spans="1:2" x14ac:dyDescent="0.3">
      <c r="A134" s="38"/>
      <c r="B134" s="37"/>
    </row>
    <row r="135" spans="1:2" x14ac:dyDescent="0.3">
      <c r="A135" s="38"/>
      <c r="B135" s="37"/>
    </row>
    <row r="136" spans="1:2" x14ac:dyDescent="0.3">
      <c r="A136" s="38"/>
      <c r="B136" s="37"/>
    </row>
    <row r="137" spans="1:2" x14ac:dyDescent="0.3">
      <c r="A137" s="38"/>
      <c r="B137" s="37"/>
    </row>
    <row r="138" spans="1:2" x14ac:dyDescent="0.3">
      <c r="A138" s="38"/>
      <c r="B138" s="37"/>
    </row>
    <row r="139" spans="1:2" x14ac:dyDescent="0.3">
      <c r="A139" s="38"/>
      <c r="B139" s="37"/>
    </row>
    <row r="140" spans="1:2" x14ac:dyDescent="0.3">
      <c r="A140" s="38"/>
      <c r="B140" s="37"/>
    </row>
    <row r="141" spans="1:2" x14ac:dyDescent="0.3">
      <c r="A141" s="38"/>
      <c r="B141" s="37"/>
    </row>
    <row r="142" spans="1:2" x14ac:dyDescent="0.3">
      <c r="A142" s="38"/>
      <c r="B142" s="37"/>
    </row>
    <row r="143" spans="1:2" x14ac:dyDescent="0.3">
      <c r="A143" s="38"/>
      <c r="B143" s="37"/>
    </row>
    <row r="144" spans="1:2" x14ac:dyDescent="0.3">
      <c r="A144" s="38"/>
      <c r="B144" s="37"/>
    </row>
    <row r="145" spans="1:2" x14ac:dyDescent="0.3">
      <c r="A145" s="38"/>
      <c r="B145" s="37"/>
    </row>
    <row r="146" spans="1:2" x14ac:dyDescent="0.3">
      <c r="A146" s="38"/>
      <c r="B146" s="37"/>
    </row>
    <row r="147" spans="1:2" x14ac:dyDescent="0.3">
      <c r="A147" s="38"/>
      <c r="B147" s="37"/>
    </row>
    <row r="148" spans="1:2" x14ac:dyDescent="0.3">
      <c r="A148" s="38"/>
      <c r="B148" s="37"/>
    </row>
    <row r="149" spans="1:2" x14ac:dyDescent="0.3">
      <c r="A149" s="38"/>
      <c r="B149" s="37"/>
    </row>
    <row r="150" spans="1:2" x14ac:dyDescent="0.3">
      <c r="A150" s="38"/>
      <c r="B150" s="37"/>
    </row>
    <row r="151" spans="1:2" x14ac:dyDescent="0.3">
      <c r="A151" s="38"/>
      <c r="B151" s="37"/>
    </row>
    <row r="152" spans="1:2" x14ac:dyDescent="0.3">
      <c r="A152" s="38"/>
      <c r="B152" s="37"/>
    </row>
    <row r="153" spans="1:2" x14ac:dyDescent="0.3">
      <c r="A153" s="38"/>
      <c r="B153" s="37"/>
    </row>
    <row r="154" spans="1:2" x14ac:dyDescent="0.3">
      <c r="A154" s="38"/>
      <c r="B154" s="37"/>
    </row>
    <row r="155" spans="1:2" x14ac:dyDescent="0.3">
      <c r="A155" s="38"/>
      <c r="B155" s="37"/>
    </row>
    <row r="156" spans="1:2" x14ac:dyDescent="0.3">
      <c r="A156" s="38"/>
      <c r="B156" s="37"/>
    </row>
    <row r="157" spans="1:2" x14ac:dyDescent="0.3">
      <c r="A157" s="38"/>
      <c r="B157" s="37"/>
    </row>
    <row r="158" spans="1:2" x14ac:dyDescent="0.3">
      <c r="A158" s="38"/>
      <c r="B158" s="37"/>
    </row>
    <row r="159" spans="1:2" x14ac:dyDescent="0.3">
      <c r="A159" s="38"/>
      <c r="B159" s="37"/>
    </row>
    <row r="160" spans="1:2" x14ac:dyDescent="0.3">
      <c r="A160" s="38"/>
      <c r="B160" s="37"/>
    </row>
    <row r="161" spans="1:2" x14ac:dyDescent="0.3">
      <c r="A161" s="38"/>
      <c r="B161" s="37"/>
    </row>
    <row r="162" spans="1:2" x14ac:dyDescent="0.3">
      <c r="A162" s="38"/>
      <c r="B162" s="37"/>
    </row>
    <row r="163" spans="1:2" x14ac:dyDescent="0.3">
      <c r="A163" s="38"/>
      <c r="B163" s="37"/>
    </row>
    <row r="164" spans="1:2" x14ac:dyDescent="0.3">
      <c r="A164" s="38"/>
      <c r="B164" s="37"/>
    </row>
    <row r="165" spans="1:2" x14ac:dyDescent="0.3">
      <c r="A165" s="38"/>
      <c r="B165" s="37"/>
    </row>
    <row r="166" spans="1:2" x14ac:dyDescent="0.3">
      <c r="A166" s="38"/>
      <c r="B166" s="37"/>
    </row>
    <row r="167" spans="1:2" x14ac:dyDescent="0.3">
      <c r="A167" s="38"/>
      <c r="B167" s="37"/>
    </row>
    <row r="168" spans="1:2" x14ac:dyDescent="0.3">
      <c r="A168" s="38"/>
      <c r="B168" s="37"/>
    </row>
    <row r="169" spans="1:2" x14ac:dyDescent="0.3">
      <c r="A169" s="38"/>
      <c r="B169" s="37"/>
    </row>
    <row r="170" spans="1:2" x14ac:dyDescent="0.3">
      <c r="A170" s="38"/>
      <c r="B170" s="37"/>
    </row>
    <row r="171" spans="1:2" x14ac:dyDescent="0.3">
      <c r="A171" s="38"/>
      <c r="B171" s="37"/>
    </row>
    <row r="172" spans="1:2" x14ac:dyDescent="0.3">
      <c r="A172" s="38"/>
      <c r="B172" s="37"/>
    </row>
    <row r="173" spans="1:2" x14ac:dyDescent="0.3">
      <c r="A173" s="38"/>
      <c r="B173" s="37"/>
    </row>
    <row r="174" spans="1:2" x14ac:dyDescent="0.3">
      <c r="A174" s="38"/>
      <c r="B174" s="37"/>
    </row>
    <row r="175" spans="1:2" x14ac:dyDescent="0.3">
      <c r="A175" s="38"/>
      <c r="B175" s="37"/>
    </row>
    <row r="176" spans="1:2" x14ac:dyDescent="0.3">
      <c r="A176" s="38"/>
      <c r="B176" s="37"/>
    </row>
    <row r="177" spans="1:2" x14ac:dyDescent="0.3">
      <c r="A177" s="38"/>
      <c r="B177" s="37"/>
    </row>
    <row r="178" spans="1:2" x14ac:dyDescent="0.3">
      <c r="A178" s="38"/>
      <c r="B178" s="37"/>
    </row>
    <row r="179" spans="1:2" x14ac:dyDescent="0.3">
      <c r="A179" s="38"/>
      <c r="B179" s="37"/>
    </row>
    <row r="180" spans="1:2" x14ac:dyDescent="0.3">
      <c r="A180" s="38"/>
      <c r="B180" s="37"/>
    </row>
    <row r="181" spans="1:2" x14ac:dyDescent="0.3">
      <c r="A181" s="38"/>
      <c r="B181" s="37"/>
    </row>
  </sheetData>
  <mergeCells count="3">
    <mergeCell ref="A1:D1"/>
    <mergeCell ref="A2:D2"/>
    <mergeCell ref="A4:D4"/>
  </mergeCells>
  <phoneticPr fontId="57" type="noConversion"/>
  <hyperlinks>
    <hyperlink ref="E1" location="Munka1!A1" display="Munka1!A1" xr:uid="{00000000-0004-0000-1200-000000000000}"/>
  </hyperlinks>
  <printOptions horizontalCentered="1"/>
  <pageMargins left="1.1811023622047245" right="0.78740157480314965" top="0.4" bottom="0.26" header="0.51181102362204722" footer="0.51181102362204722"/>
  <pageSetup paperSize="9" scale="6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>
    <tabColor theme="9" tint="-0.499984740745262"/>
    <pageSetUpPr fitToPage="1"/>
  </sheetPr>
  <dimension ref="A1:N45"/>
  <sheetViews>
    <sheetView view="pageBreakPreview" zoomScale="55" zoomScaleNormal="75" zoomScaleSheetLayoutView="55" workbookViewId="0">
      <selection sqref="A1:B1"/>
    </sheetView>
  </sheetViews>
  <sheetFormatPr defaultColWidth="9.109375" defaultRowHeight="21" x14ac:dyDescent="0.4"/>
  <cols>
    <col min="1" max="1" width="40" style="522" customWidth="1"/>
    <col min="2" max="2" width="194.6640625" style="522" customWidth="1"/>
    <col min="3" max="3" width="184.33203125" style="253" customWidth="1"/>
    <col min="4" max="16384" width="9.109375" style="253"/>
  </cols>
  <sheetData>
    <row r="1" spans="1:14" ht="30.6" x14ac:dyDescent="0.55000000000000004">
      <c r="A1" s="1818" t="s">
        <v>1010</v>
      </c>
      <c r="B1" s="1819"/>
      <c r="C1" s="854"/>
    </row>
    <row r="2" spans="1:14" ht="30" customHeight="1" x14ac:dyDescent="0.5">
      <c r="A2" s="1818" t="s">
        <v>807</v>
      </c>
      <c r="B2" s="1819"/>
      <c r="C2" s="853"/>
      <c r="D2" s="317"/>
    </row>
    <row r="3" spans="1:14" ht="34.5" customHeight="1" x14ac:dyDescent="0.5">
      <c r="A3" s="1818" t="s">
        <v>364</v>
      </c>
      <c r="B3" s="1819"/>
      <c r="C3" s="853"/>
      <c r="D3" s="317"/>
    </row>
    <row r="4" spans="1:14" x14ac:dyDescent="0.4">
      <c r="A4" s="1817"/>
      <c r="B4" s="1817"/>
      <c r="C4" s="1817"/>
      <c r="D4" s="317"/>
    </row>
    <row r="5" spans="1:14" x14ac:dyDescent="0.4">
      <c r="A5" s="517"/>
      <c r="B5" s="751"/>
      <c r="C5" s="254"/>
      <c r="D5" s="317"/>
    </row>
    <row r="6" spans="1:14" ht="51.9" customHeight="1" x14ac:dyDescent="0.4">
      <c r="A6" s="466" t="s">
        <v>365</v>
      </c>
      <c r="B6" s="466" t="s">
        <v>366</v>
      </c>
      <c r="C6" s="317"/>
    </row>
    <row r="7" spans="1:14" s="295" customFormat="1" ht="51.9" customHeight="1" x14ac:dyDescent="0.45">
      <c r="A7" s="523" t="s">
        <v>367</v>
      </c>
      <c r="B7" s="294" t="s">
        <v>673</v>
      </c>
      <c r="E7" s="460"/>
      <c r="F7" s="460"/>
    </row>
    <row r="8" spans="1:14" s="297" customFormat="1" ht="51.9" customHeight="1" x14ac:dyDescent="0.45">
      <c r="A8" s="523" t="s">
        <v>498</v>
      </c>
      <c r="B8" s="296" t="s">
        <v>674</v>
      </c>
      <c r="E8" s="460"/>
      <c r="F8" s="253"/>
      <c r="G8" s="253"/>
      <c r="H8" s="253"/>
      <c r="I8" s="253"/>
      <c r="J8" s="253"/>
    </row>
    <row r="9" spans="1:14" s="297" customFormat="1" ht="51.9" customHeight="1" x14ac:dyDescent="0.45">
      <c r="A9" s="523" t="s">
        <v>499</v>
      </c>
      <c r="B9" s="296" t="s">
        <v>675</v>
      </c>
      <c r="D9" s="253"/>
      <c r="E9" s="460"/>
    </row>
    <row r="10" spans="1:14" s="297" customFormat="1" ht="51.9" customHeight="1" x14ac:dyDescent="0.45">
      <c r="A10" s="523" t="s">
        <v>368</v>
      </c>
      <c r="B10" s="296" t="s">
        <v>829</v>
      </c>
      <c r="C10" s="298"/>
      <c r="D10" s="298"/>
      <c r="E10" s="298"/>
      <c r="F10" s="298"/>
      <c r="G10" s="298"/>
    </row>
    <row r="11" spans="1:14" s="297" customFormat="1" ht="51.9" customHeight="1" x14ac:dyDescent="0.45">
      <c r="A11" s="523" t="s">
        <v>369</v>
      </c>
      <c r="B11" s="296" t="s">
        <v>676</v>
      </c>
      <c r="C11" s="299"/>
      <c r="D11" s="299"/>
      <c r="E11" s="299"/>
      <c r="F11" s="299"/>
      <c r="G11" s="299"/>
    </row>
    <row r="12" spans="1:14" s="297" customFormat="1" ht="51.9" customHeight="1" x14ac:dyDescent="0.45">
      <c r="A12" s="523" t="s">
        <v>370</v>
      </c>
      <c r="B12" s="296" t="s">
        <v>618</v>
      </c>
      <c r="C12" s="300"/>
      <c r="D12" s="300"/>
      <c r="E12" s="300"/>
      <c r="F12" s="300"/>
      <c r="G12" s="300"/>
      <c r="H12" s="300"/>
      <c r="I12" s="300"/>
      <c r="J12" s="300"/>
      <c r="K12" s="300"/>
    </row>
    <row r="13" spans="1:14" s="297" customFormat="1" ht="51.9" customHeight="1" x14ac:dyDescent="0.45">
      <c r="A13" s="523" t="s">
        <v>371</v>
      </c>
      <c r="B13" s="296" t="s">
        <v>988</v>
      </c>
      <c r="C13" s="301"/>
      <c r="D13" s="301"/>
      <c r="E13" s="301"/>
      <c r="F13" s="302"/>
      <c r="G13" s="302">
        <f>(1624468092+705559195-673234361-1179943417)/1000-68953</f>
        <v>407896.50900000002</v>
      </c>
      <c r="H13" s="302"/>
      <c r="N13" s="297">
        <f>+(162060040+405504754-562682380)/1000</f>
        <v>4882.4139999999998</v>
      </c>
    </row>
    <row r="14" spans="1:14" s="297" customFormat="1" ht="51.9" customHeight="1" x14ac:dyDescent="0.45">
      <c r="A14" s="523" t="s">
        <v>372</v>
      </c>
      <c r="B14" s="296" t="s">
        <v>322</v>
      </c>
      <c r="C14" s="299"/>
      <c r="D14" s="299"/>
      <c r="E14" s="299">
        <f>54404+6816+2965+162+5238+16749+1090+14746+236473</f>
        <v>338643</v>
      </c>
      <c r="F14" s="299"/>
      <c r="G14" s="299">
        <f>+E13+E14-G15</f>
        <v>338643</v>
      </c>
      <c r="H14" s="299"/>
      <c r="I14" s="299"/>
    </row>
    <row r="15" spans="1:14" s="297" customFormat="1" ht="51.9" customHeight="1" x14ac:dyDescent="0.45">
      <c r="A15" s="523" t="s">
        <v>373</v>
      </c>
      <c r="B15" s="296" t="s">
        <v>562</v>
      </c>
      <c r="C15" s="299"/>
      <c r="D15" s="299"/>
      <c r="E15" s="299"/>
      <c r="F15" s="299"/>
      <c r="G15" s="299"/>
      <c r="H15" s="299"/>
    </row>
    <row r="16" spans="1:14" s="297" customFormat="1" ht="51.9" customHeight="1" x14ac:dyDescent="0.45">
      <c r="A16" s="523" t="s">
        <v>374</v>
      </c>
      <c r="B16" s="296" t="s">
        <v>563</v>
      </c>
      <c r="C16" s="303"/>
    </row>
    <row r="17" spans="1:6" s="297" customFormat="1" ht="51.9" customHeight="1" x14ac:dyDescent="0.45">
      <c r="A17" s="523" t="s">
        <v>375</v>
      </c>
      <c r="B17" s="296" t="s">
        <v>994</v>
      </c>
      <c r="C17" s="304"/>
      <c r="D17" s="304"/>
      <c r="E17" s="304"/>
      <c r="F17" s="304"/>
    </row>
    <row r="18" spans="1:6" s="297" customFormat="1" ht="51.9" customHeight="1" x14ac:dyDescent="0.45">
      <c r="A18" s="523" t="s">
        <v>376</v>
      </c>
      <c r="B18" s="294" t="s">
        <v>546</v>
      </c>
      <c r="C18" s="304"/>
      <c r="D18" s="304"/>
      <c r="E18" s="304"/>
      <c r="F18" s="304"/>
    </row>
    <row r="19" spans="1:6" s="297" customFormat="1" ht="51.9" customHeight="1" x14ac:dyDescent="0.45">
      <c r="A19" s="523" t="s">
        <v>377</v>
      </c>
      <c r="B19" s="296" t="s">
        <v>677</v>
      </c>
    </row>
    <row r="20" spans="1:6" s="306" customFormat="1" ht="51.9" customHeight="1" x14ac:dyDescent="0.45">
      <c r="A20" s="523" t="s">
        <v>378</v>
      </c>
      <c r="B20" s="305" t="s">
        <v>678</v>
      </c>
    </row>
    <row r="21" spans="1:6" s="306" customFormat="1" ht="51.9" customHeight="1" x14ac:dyDescent="0.45">
      <c r="A21" s="523" t="s">
        <v>380</v>
      </c>
      <c r="B21" s="296" t="s">
        <v>379</v>
      </c>
    </row>
    <row r="22" spans="1:6" s="306" customFormat="1" ht="51.9" customHeight="1" x14ac:dyDescent="0.45">
      <c r="A22" s="523" t="s">
        <v>381</v>
      </c>
      <c r="B22" s="296" t="s">
        <v>619</v>
      </c>
    </row>
    <row r="23" spans="1:6" s="306" customFormat="1" ht="51.9" customHeight="1" x14ac:dyDescent="0.45">
      <c r="A23" s="523" t="s">
        <v>382</v>
      </c>
      <c r="B23" s="296" t="s">
        <v>547</v>
      </c>
    </row>
    <row r="24" spans="1:6" s="306" customFormat="1" ht="51.9" customHeight="1" x14ac:dyDescent="0.45">
      <c r="A24" s="523" t="s">
        <v>383</v>
      </c>
      <c r="B24" s="296" t="s">
        <v>384</v>
      </c>
    </row>
    <row r="25" spans="1:6" s="306" customFormat="1" ht="51.9" customHeight="1" x14ac:dyDescent="0.45">
      <c r="A25" s="523" t="s">
        <v>385</v>
      </c>
      <c r="B25" s="296" t="s">
        <v>620</v>
      </c>
    </row>
    <row r="26" spans="1:6" s="306" customFormat="1" ht="51.9" customHeight="1" x14ac:dyDescent="0.45">
      <c r="A26" s="523" t="s">
        <v>989</v>
      </c>
      <c r="B26" s="296" t="s">
        <v>995</v>
      </c>
    </row>
    <row r="27" spans="1:6" s="306" customFormat="1" ht="51.9" customHeight="1" x14ac:dyDescent="0.45">
      <c r="A27" s="523" t="s">
        <v>386</v>
      </c>
      <c r="B27" s="296" t="s">
        <v>996</v>
      </c>
    </row>
    <row r="28" spans="1:6" s="306" customFormat="1" ht="51.9" customHeight="1" x14ac:dyDescent="0.45">
      <c r="A28" s="523" t="s">
        <v>387</v>
      </c>
      <c r="B28" s="296" t="s">
        <v>548</v>
      </c>
    </row>
    <row r="29" spans="1:6" s="306" customFormat="1" ht="51.9" customHeight="1" x14ac:dyDescent="0.45">
      <c r="A29" s="523" t="s">
        <v>388</v>
      </c>
      <c r="B29" s="296" t="s">
        <v>549</v>
      </c>
    </row>
    <row r="30" spans="1:6" s="306" customFormat="1" ht="51.9" customHeight="1" x14ac:dyDescent="0.45">
      <c r="A30" s="523" t="s">
        <v>389</v>
      </c>
      <c r="B30" s="296" t="s">
        <v>997</v>
      </c>
    </row>
    <row r="31" spans="1:6" s="306" customFormat="1" ht="51.9" customHeight="1" x14ac:dyDescent="0.45">
      <c r="A31" s="523" t="s">
        <v>390</v>
      </c>
      <c r="B31" s="296" t="s">
        <v>990</v>
      </c>
    </row>
    <row r="32" spans="1:6" s="306" customFormat="1" ht="51.9" customHeight="1" x14ac:dyDescent="0.45">
      <c r="A32" s="523" t="s">
        <v>991</v>
      </c>
      <c r="B32" s="296" t="s">
        <v>550</v>
      </c>
    </row>
    <row r="33" spans="1:6" s="306" customFormat="1" ht="51.9" customHeight="1" x14ac:dyDescent="0.45">
      <c r="A33" s="523" t="s">
        <v>992</v>
      </c>
      <c r="B33" s="296" t="s">
        <v>1004</v>
      </c>
    </row>
    <row r="34" spans="1:6" s="306" customFormat="1" ht="51.9" customHeight="1" x14ac:dyDescent="0.45">
      <c r="A34" s="524" t="s">
        <v>391</v>
      </c>
      <c r="B34" s="296" t="s">
        <v>502</v>
      </c>
    </row>
    <row r="35" spans="1:6" s="306" customFormat="1" ht="51.9" customHeight="1" x14ac:dyDescent="0.45">
      <c r="A35" s="524" t="s">
        <v>392</v>
      </c>
      <c r="B35" s="296" t="s">
        <v>551</v>
      </c>
    </row>
    <row r="36" spans="1:6" s="306" customFormat="1" ht="51.9" customHeight="1" x14ac:dyDescent="0.45">
      <c r="A36" s="524" t="s">
        <v>393</v>
      </c>
      <c r="B36" s="296" t="s">
        <v>679</v>
      </c>
    </row>
    <row r="37" spans="1:6" s="306" customFormat="1" ht="51.9" customHeight="1" x14ac:dyDescent="0.45">
      <c r="A37" s="524" t="s">
        <v>394</v>
      </c>
      <c r="B37" s="296" t="s">
        <v>552</v>
      </c>
    </row>
    <row r="38" spans="1:6" s="306" customFormat="1" ht="51.9" customHeight="1" x14ac:dyDescent="0.45">
      <c r="A38" s="524" t="s">
        <v>395</v>
      </c>
      <c r="B38" s="296" t="s">
        <v>805</v>
      </c>
    </row>
    <row r="39" spans="1:6" s="306" customFormat="1" ht="51.9" customHeight="1" x14ac:dyDescent="0.45">
      <c r="A39" s="524" t="s">
        <v>491</v>
      </c>
      <c r="B39" s="467" t="s">
        <v>0</v>
      </c>
      <c r="C39" s="301"/>
      <c r="D39" s="301"/>
    </row>
    <row r="40" spans="1:6" ht="63.75" hidden="1" customHeight="1" x14ac:dyDescent="0.4">
      <c r="A40" s="524" t="s">
        <v>838</v>
      </c>
      <c r="B40" s="296" t="s">
        <v>658</v>
      </c>
      <c r="D40" s="255"/>
      <c r="E40" s="255"/>
      <c r="F40" s="255"/>
    </row>
    <row r="41" spans="1:6" hidden="1" x14ac:dyDescent="0.4"/>
    <row r="42" spans="1:6" hidden="1" x14ac:dyDescent="0.4"/>
    <row r="43" spans="1:6" hidden="1" x14ac:dyDescent="0.4"/>
    <row r="44" spans="1:6" hidden="1" x14ac:dyDescent="0.4"/>
    <row r="45" spans="1:6" hidden="1" x14ac:dyDescent="0.4"/>
  </sheetData>
  <mergeCells count="4">
    <mergeCell ref="A4:C4"/>
    <mergeCell ref="A1:B1"/>
    <mergeCell ref="A2:B2"/>
    <mergeCell ref="A3:B3"/>
  </mergeCells>
  <phoneticPr fontId="57" type="noConversion"/>
  <printOptions horizontalCentered="1"/>
  <pageMargins left="0.25" right="0.25" top="0.75" bottom="0.75" header="0.3" footer="0.3"/>
  <pageSetup paperSize="9" scale="40" orientation="portrait" verticalDpi="7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20">
    <tabColor rgb="FF92D050"/>
    <pageSetUpPr fitToPage="1"/>
  </sheetPr>
  <dimension ref="A1:T51"/>
  <sheetViews>
    <sheetView view="pageBreakPreview" topLeftCell="A22" zoomScale="90" zoomScaleSheetLayoutView="90" workbookViewId="0">
      <selection activeCell="D19" sqref="D19"/>
    </sheetView>
  </sheetViews>
  <sheetFormatPr defaultColWidth="9.109375" defaultRowHeight="15.6" x14ac:dyDescent="0.3"/>
  <cols>
    <col min="1" max="1" width="9.6640625" style="24" customWidth="1"/>
    <col min="2" max="2" width="10.88671875" style="4" customWidth="1"/>
    <col min="3" max="3" width="64" style="4" customWidth="1"/>
    <col min="4" max="5" width="26.33203125" style="4" customWidth="1"/>
    <col min="6" max="6" width="0" style="4" hidden="1" customWidth="1"/>
    <col min="7" max="7" width="12.44140625" style="4" hidden="1" customWidth="1"/>
    <col min="8" max="24" width="0" style="4" hidden="1" customWidth="1"/>
    <col min="25" max="16384" width="9.109375" style="4"/>
  </cols>
  <sheetData>
    <row r="1" spans="1:20" ht="17.399999999999999" x14ac:dyDescent="0.3">
      <c r="A1" s="1880" t="str">
        <f>Tartalomjegyzék_2021!A1</f>
        <v>Pilisvörösvár Város Önkormányzata Képviselő-testületének 1/2021. (II. 15.) önkormányzati rendelete</v>
      </c>
      <c r="B1" s="1880"/>
      <c r="C1" s="1880"/>
      <c r="D1" s="1831"/>
      <c r="E1" s="1831"/>
      <c r="F1" s="1362" t="s">
        <v>758</v>
      </c>
    </row>
    <row r="2" spans="1:20" ht="18.75" customHeight="1" x14ac:dyDescent="0.3">
      <c r="A2" s="1880" t="str">
        <f>'16. Átvett pénze.(B6,B7)'!A2:D2</f>
        <v>az Önkormányzat  2021. évi költségvetéséről</v>
      </c>
      <c r="B2" s="1880"/>
      <c r="C2" s="1880"/>
      <c r="D2" s="1831"/>
      <c r="E2" s="1831"/>
    </row>
    <row r="3" spans="1:20" ht="18" x14ac:dyDescent="0.35">
      <c r="A3" s="148"/>
      <c r="B3" s="6"/>
      <c r="C3" s="6"/>
    </row>
    <row r="4" spans="1:20" ht="18.75" customHeight="1" x14ac:dyDescent="0.3">
      <c r="A4" s="1880" t="str">
        <f>Tartalomjegyzék_2021!B24</f>
        <v>Pilisvörösvár Város Önkormányzata finanszírozási bevételei és kiadásai</v>
      </c>
      <c r="B4" s="1880" t="s">
        <v>216</v>
      </c>
      <c r="C4" s="1880"/>
      <c r="D4" s="1831"/>
      <c r="E4" s="1831"/>
    </row>
    <row r="5" spans="1:20" ht="18.75" customHeight="1" x14ac:dyDescent="0.35">
      <c r="A5" s="512"/>
      <c r="B5" s="512"/>
      <c r="C5" s="512"/>
      <c r="E5" s="578" t="s">
        <v>644</v>
      </c>
    </row>
    <row r="6" spans="1:20" ht="18" x14ac:dyDescent="0.35">
      <c r="A6" s="148"/>
      <c r="B6" s="111"/>
      <c r="C6" s="111"/>
      <c r="E6" s="271"/>
    </row>
    <row r="7" spans="1:20" s="17" customFormat="1" ht="18.600000000000001" thickBot="1" x14ac:dyDescent="0.4">
      <c r="A7" s="24"/>
      <c r="B7" s="4"/>
      <c r="C7" s="4"/>
      <c r="E7" s="272" t="s">
        <v>201</v>
      </c>
    </row>
    <row r="8" spans="1:20" s="17" customFormat="1" ht="58.5" customHeight="1" thickBot="1" x14ac:dyDescent="0.35">
      <c r="A8" s="1719" t="s">
        <v>44</v>
      </c>
      <c r="B8" s="1692" t="s">
        <v>242</v>
      </c>
      <c r="C8" s="1696" t="s">
        <v>317</v>
      </c>
      <c r="D8" s="1692" t="str">
        <f>'16. Átvett pénze.(B6,B7)'!C22</f>
        <v>Önkormányzat 2020. évi eredeti előirányzat</v>
      </c>
      <c r="E8" s="1697" t="str">
        <f>'16. Átvett pénze.(B6,B7)'!D22</f>
        <v>Önkormányzat 2021. évi eredeti előirányzat</v>
      </c>
    </row>
    <row r="9" spans="1:20" s="17" customFormat="1" ht="26.25" customHeight="1" x14ac:dyDescent="0.3">
      <c r="A9" s="1721">
        <v>1</v>
      </c>
      <c r="B9" s="1713" t="s">
        <v>115</v>
      </c>
      <c r="C9" s="1687" t="s">
        <v>114</v>
      </c>
      <c r="D9" s="1698"/>
      <c r="E9" s="1688"/>
    </row>
    <row r="10" spans="1:20" s="17" customFormat="1" ht="30" customHeight="1" x14ac:dyDescent="0.3">
      <c r="A10" s="698">
        <v>2</v>
      </c>
      <c r="B10" s="1714" t="s">
        <v>301</v>
      </c>
      <c r="C10" s="16" t="s">
        <v>300</v>
      </c>
      <c r="D10" s="1444"/>
      <c r="E10" s="1689"/>
    </row>
    <row r="11" spans="1:20" s="17" customFormat="1" ht="27" customHeight="1" x14ac:dyDescent="0.3">
      <c r="A11" s="699">
        <v>3</v>
      </c>
      <c r="B11" s="1712" t="s">
        <v>303</v>
      </c>
      <c r="C11" s="19" t="s">
        <v>302</v>
      </c>
      <c r="D11" s="1693">
        <f>SUM(D9:D10)</f>
        <v>0</v>
      </c>
      <c r="E11" s="1690">
        <f>SUM(E9:E10)</f>
        <v>0</v>
      </c>
    </row>
    <row r="12" spans="1:20" s="17" customFormat="1" ht="27" customHeight="1" x14ac:dyDescent="0.3">
      <c r="A12" s="699">
        <v>4</v>
      </c>
      <c r="B12" s="1712" t="s">
        <v>472</v>
      </c>
      <c r="C12" s="19" t="s">
        <v>627</v>
      </c>
      <c r="D12" s="1693">
        <v>0</v>
      </c>
      <c r="E12" s="1691">
        <v>0</v>
      </c>
      <c r="F12" s="566"/>
      <c r="G12" s="1881" t="s">
        <v>642</v>
      </c>
      <c r="H12" s="1882"/>
      <c r="I12" s="1882"/>
      <c r="J12" s="1882"/>
      <c r="K12" s="1882"/>
      <c r="L12" s="1882"/>
      <c r="M12" s="1882"/>
      <c r="O12" s="1881" t="s">
        <v>643</v>
      </c>
      <c r="P12" s="1882"/>
      <c r="Q12" s="1882"/>
      <c r="R12" s="1882"/>
      <c r="S12" s="1882"/>
      <c r="T12" s="1882"/>
    </row>
    <row r="13" spans="1:20" s="579" customFormat="1" ht="35.25" customHeight="1" x14ac:dyDescent="0.3">
      <c r="A13" s="700">
        <v>5</v>
      </c>
      <c r="B13" s="1715" t="s">
        <v>305</v>
      </c>
      <c r="C13" s="1701" t="s">
        <v>876</v>
      </c>
      <c r="D13" s="1699">
        <v>463128</v>
      </c>
      <c r="E13" s="1702"/>
      <c r="G13" s="580">
        <f>(531720767)/1000-68593</f>
        <v>463127.76699999999</v>
      </c>
      <c r="H13" s="913" t="s">
        <v>639</v>
      </c>
      <c r="N13" s="580">
        <v>0</v>
      </c>
      <c r="O13" s="913" t="s">
        <v>639</v>
      </c>
      <c r="S13" s="580">
        <f>+G13+N13</f>
        <v>463127.76699999999</v>
      </c>
    </row>
    <row r="14" spans="1:20" s="17" customFormat="1" ht="20.399999999999999" x14ac:dyDescent="0.35">
      <c r="A14" s="699">
        <v>6</v>
      </c>
      <c r="B14" s="1712" t="s">
        <v>308</v>
      </c>
      <c r="C14" s="18" t="s">
        <v>307</v>
      </c>
      <c r="D14" s="1695">
        <f>SUM(D13:D13)</f>
        <v>463128</v>
      </c>
      <c r="E14" s="979">
        <f>SUM(E13:E13)</f>
        <v>0</v>
      </c>
      <c r="G14" s="566" t="e">
        <f>+#REF!+#REF!</f>
        <v>#REF!</v>
      </c>
      <c r="H14" s="4" t="s">
        <v>638</v>
      </c>
      <c r="O14" s="4"/>
    </row>
    <row r="15" spans="1:20" ht="21" x14ac:dyDescent="0.3">
      <c r="A15" s="698">
        <v>7</v>
      </c>
      <c r="B15" s="1716" t="s">
        <v>310</v>
      </c>
      <c r="C15" s="153" t="s">
        <v>309</v>
      </c>
      <c r="D15" s="552"/>
      <c r="E15" s="1694"/>
      <c r="G15" s="420" t="e">
        <f>SUM(G14:G14)</f>
        <v>#REF!</v>
      </c>
      <c r="H15" s="4" t="s">
        <v>640</v>
      </c>
    </row>
    <row r="16" spans="1:20" ht="21" x14ac:dyDescent="0.3">
      <c r="A16" s="698">
        <v>8</v>
      </c>
      <c r="B16" s="1715" t="s">
        <v>312</v>
      </c>
      <c r="C16" s="340" t="s">
        <v>311</v>
      </c>
      <c r="D16" s="1699"/>
      <c r="E16" s="1700"/>
      <c r="G16" s="914" t="e">
        <f>G13+N13-G15</f>
        <v>#REF!</v>
      </c>
      <c r="H16" s="558" t="s">
        <v>641</v>
      </c>
      <c r="I16" s="558"/>
      <c r="J16" s="558"/>
      <c r="K16" s="558"/>
      <c r="L16" s="558"/>
      <c r="M16" s="558"/>
      <c r="P16" s="420"/>
    </row>
    <row r="17" spans="1:8" ht="20.399999999999999" x14ac:dyDescent="0.35">
      <c r="A17" s="699">
        <v>9</v>
      </c>
      <c r="B17" s="1712" t="s">
        <v>314</v>
      </c>
      <c r="C17" s="19" t="s">
        <v>313</v>
      </c>
      <c r="D17" s="553">
        <f>SUM(D14:D16)+D11+D12</f>
        <v>463128</v>
      </c>
      <c r="E17" s="979">
        <f>SUM(E14:E16)+E11+E12</f>
        <v>0</v>
      </c>
    </row>
    <row r="18" spans="1:8" ht="33" customHeight="1" thickBot="1" x14ac:dyDescent="0.35">
      <c r="A18" s="1722">
        <v>10</v>
      </c>
      <c r="B18" s="1717" t="s">
        <v>316</v>
      </c>
      <c r="C18" s="1706" t="s">
        <v>315</v>
      </c>
      <c r="D18" s="1707"/>
      <c r="E18" s="1708"/>
    </row>
    <row r="19" spans="1:8" ht="21" thickBot="1" x14ac:dyDescent="0.4">
      <c r="A19" s="1720">
        <v>11</v>
      </c>
      <c r="B19" s="1718" t="s">
        <v>318</v>
      </c>
      <c r="C19" s="1703" t="s">
        <v>317</v>
      </c>
      <c r="D19" s="1704">
        <f>SUM(D17:D18)</f>
        <v>463128</v>
      </c>
      <c r="E19" s="1705">
        <f>SUM(E17:E18)</f>
        <v>0</v>
      </c>
      <c r="H19" s="580"/>
    </row>
    <row r="23" spans="1:8" ht="18.600000000000001" thickBot="1" x14ac:dyDescent="0.4">
      <c r="E23" s="272" t="s">
        <v>201</v>
      </c>
    </row>
    <row r="24" spans="1:8" ht="57.75" customHeight="1" thickBot="1" x14ac:dyDescent="0.35">
      <c r="A24" s="25" t="s">
        <v>44</v>
      </c>
      <c r="B24" s="696" t="s">
        <v>242</v>
      </c>
      <c r="C24" s="697" t="s">
        <v>26</v>
      </c>
      <c r="D24" s="696" t="str">
        <f>D8</f>
        <v>Önkormányzat 2020. évi eredeti előirányzat</v>
      </c>
      <c r="E24" s="782" t="str">
        <f>E8</f>
        <v>Önkormányzat 2021. évi eredeti előirányzat</v>
      </c>
    </row>
    <row r="25" spans="1:8" s="44" customFormat="1" ht="21" x14ac:dyDescent="0.4">
      <c r="A25" s="1212">
        <v>1</v>
      </c>
      <c r="B25" s="152" t="s">
        <v>222</v>
      </c>
      <c r="C25" s="154" t="s">
        <v>221</v>
      </c>
      <c r="D25" s="1709">
        <v>1320</v>
      </c>
      <c r="E25" s="1710">
        <v>1320</v>
      </c>
    </row>
    <row r="26" spans="1:8" s="44" customFormat="1" ht="34.5" customHeight="1" x14ac:dyDescent="0.4">
      <c r="A26" s="1214">
        <v>2</v>
      </c>
      <c r="B26" s="20" t="s">
        <v>220</v>
      </c>
      <c r="C26" s="16" t="s">
        <v>219</v>
      </c>
      <c r="D26" s="1215"/>
      <c r="E26" s="1216"/>
    </row>
    <row r="27" spans="1:8" s="44" customFormat="1" ht="21" x14ac:dyDescent="0.4">
      <c r="A27" s="1214">
        <v>3</v>
      </c>
      <c r="B27" s="20" t="s">
        <v>218</v>
      </c>
      <c r="C27" s="16" t="s">
        <v>217</v>
      </c>
      <c r="D27" s="1213"/>
      <c r="E27" s="1216"/>
    </row>
    <row r="28" spans="1:8" s="44" customFormat="1" ht="20.399999999999999" x14ac:dyDescent="0.35">
      <c r="A28" s="1217">
        <v>4</v>
      </c>
      <c r="B28" s="18" t="s">
        <v>190</v>
      </c>
      <c r="C28" s="19" t="s">
        <v>191</v>
      </c>
      <c r="D28" s="1218">
        <f>SUM(D25:D27)</f>
        <v>1320</v>
      </c>
      <c r="E28" s="1219">
        <f>SUM(E25:E27)</f>
        <v>1320</v>
      </c>
    </row>
    <row r="29" spans="1:8" s="44" customFormat="1" ht="21" x14ac:dyDescent="0.4">
      <c r="A29" s="1217">
        <v>5</v>
      </c>
      <c r="B29" s="18" t="s">
        <v>192</v>
      </c>
      <c r="C29" s="149" t="s">
        <v>193</v>
      </c>
      <c r="D29" s="1213"/>
      <c r="E29" s="1216"/>
    </row>
    <row r="30" spans="1:8" s="44" customFormat="1" ht="21" x14ac:dyDescent="0.4">
      <c r="A30" s="1217">
        <v>6</v>
      </c>
      <c r="B30" s="18" t="s">
        <v>514</v>
      </c>
      <c r="C30" s="149" t="s">
        <v>513</v>
      </c>
      <c r="D30" s="1711">
        <v>28845</v>
      </c>
      <c r="E30" s="1711">
        <v>0</v>
      </c>
    </row>
    <row r="31" spans="1:8" s="44" customFormat="1" ht="20.399999999999999" x14ac:dyDescent="0.35">
      <c r="A31" s="1217">
        <v>7</v>
      </c>
      <c r="B31" s="18" t="s">
        <v>204</v>
      </c>
      <c r="C31" s="149" t="s">
        <v>205</v>
      </c>
      <c r="D31" s="1218">
        <f>'2.Kiadások_részletes '!I33</f>
        <v>1097392.91463872</v>
      </c>
      <c r="E31" s="1219">
        <f>'2.Kiadások_részletes '!J33</f>
        <v>1114823</v>
      </c>
      <c r="H31" s="44">
        <f>19955+644</f>
        <v>20599</v>
      </c>
    </row>
    <row r="32" spans="1:8" ht="20.399999999999999" x14ac:dyDescent="0.35">
      <c r="A32" s="699">
        <v>8</v>
      </c>
      <c r="B32" s="18" t="s">
        <v>194</v>
      </c>
      <c r="C32" s="149" t="s">
        <v>195</v>
      </c>
      <c r="D32" s="553">
        <f>SUM(D28:D31)</f>
        <v>1127557.91463872</v>
      </c>
      <c r="E32" s="784">
        <f>SUM(E28:E31)</f>
        <v>1116143</v>
      </c>
    </row>
    <row r="33" spans="1:5" ht="21" x14ac:dyDescent="0.4">
      <c r="A33" s="699">
        <v>9</v>
      </c>
      <c r="B33" s="18" t="s">
        <v>196</v>
      </c>
      <c r="C33" s="149" t="s">
        <v>197</v>
      </c>
      <c r="D33" s="554"/>
      <c r="E33" s="785">
        <f>D33</f>
        <v>0</v>
      </c>
    </row>
    <row r="34" spans="1:5" ht="21.6" thickBot="1" x14ac:dyDescent="0.45">
      <c r="A34" s="699">
        <v>10</v>
      </c>
      <c r="B34" s="150" t="s">
        <v>198</v>
      </c>
      <c r="C34" s="151" t="s">
        <v>199</v>
      </c>
      <c r="D34" s="554"/>
      <c r="E34" s="785">
        <f>D34</f>
        <v>0</v>
      </c>
    </row>
    <row r="35" spans="1:5" ht="21" thickBot="1" x14ac:dyDescent="0.4">
      <c r="A35" s="703">
        <v>11</v>
      </c>
      <c r="B35" s="701" t="s">
        <v>200</v>
      </c>
      <c r="C35" s="702" t="s">
        <v>26</v>
      </c>
      <c r="D35" s="783">
        <f>SUM(D32:D34)</f>
        <v>1127557.91463872</v>
      </c>
      <c r="E35" s="783">
        <f>SUM(E32:E34)</f>
        <v>1116143</v>
      </c>
    </row>
    <row r="36" spans="1:5" hidden="1" x14ac:dyDescent="0.3"/>
    <row r="37" spans="1:5" hidden="1" x14ac:dyDescent="0.3"/>
    <row r="38" spans="1:5" hidden="1" x14ac:dyDescent="0.3"/>
    <row r="39" spans="1:5" hidden="1" x14ac:dyDescent="0.3"/>
    <row r="40" spans="1:5" hidden="1" x14ac:dyDescent="0.3"/>
    <row r="41" spans="1:5" hidden="1" x14ac:dyDescent="0.3"/>
    <row r="42" spans="1:5" hidden="1" x14ac:dyDescent="0.3"/>
    <row r="43" spans="1:5" hidden="1" x14ac:dyDescent="0.3"/>
    <row r="44" spans="1:5" hidden="1" x14ac:dyDescent="0.3"/>
    <row r="45" spans="1:5" hidden="1" x14ac:dyDescent="0.3"/>
    <row r="46" spans="1:5" hidden="1" x14ac:dyDescent="0.3"/>
    <row r="47" spans="1:5" hidden="1" x14ac:dyDescent="0.3"/>
    <row r="48" spans="1:5" hidden="1" x14ac:dyDescent="0.3"/>
    <row r="49" hidden="1" x14ac:dyDescent="0.3"/>
    <row r="50" hidden="1" x14ac:dyDescent="0.3"/>
    <row r="51" hidden="1" x14ac:dyDescent="0.3"/>
  </sheetData>
  <mergeCells count="5">
    <mergeCell ref="A1:E1"/>
    <mergeCell ref="A2:E2"/>
    <mergeCell ref="A4:E4"/>
    <mergeCell ref="G12:M12"/>
    <mergeCell ref="O12:T12"/>
  </mergeCells>
  <phoneticPr fontId="57" type="noConversion"/>
  <hyperlinks>
    <hyperlink ref="F1" location="Munka1!A1" display="Munka1!A1" xr:uid="{00000000-0004-0000-1300-000000000000}"/>
  </hyperlinks>
  <pageMargins left="0.7" right="0.7" top="0.75" bottom="0.75" header="0.3" footer="0.3"/>
  <pageSetup paperSize="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16">
    <tabColor rgb="FF92D050"/>
    <pageSetUpPr fitToPage="1"/>
  </sheetPr>
  <dimension ref="A1:L86"/>
  <sheetViews>
    <sheetView view="pageBreakPreview" topLeftCell="A4" zoomScale="55" zoomScaleNormal="100" zoomScaleSheetLayoutView="55" workbookViewId="0">
      <selection activeCell="B14" sqref="B14"/>
    </sheetView>
  </sheetViews>
  <sheetFormatPr defaultColWidth="9.109375" defaultRowHeight="15.6" x14ac:dyDescent="0.3"/>
  <cols>
    <col min="1" max="1" width="26.5546875" style="24" customWidth="1"/>
    <col min="2" max="2" width="10.44140625" style="44" customWidth="1"/>
    <col min="3" max="3" width="105.88671875" style="4" customWidth="1"/>
    <col min="4" max="5" width="20" style="24" customWidth="1"/>
    <col min="6" max="7" width="18.88671875" style="4" customWidth="1"/>
    <col min="8" max="8" width="15" style="4" hidden="1" customWidth="1"/>
    <col min="9" max="9" width="27.33203125" style="4" hidden="1" customWidth="1"/>
    <col min="10" max="10" width="18.88671875" style="4" hidden="1" customWidth="1"/>
    <col min="11" max="11" width="27.88671875" style="4" hidden="1" customWidth="1"/>
    <col min="12" max="12" width="9.5546875" style="4" hidden="1" customWidth="1"/>
    <col min="13" max="16" width="0" style="4" hidden="1" customWidth="1"/>
    <col min="17" max="16384" width="9.109375" style="4"/>
  </cols>
  <sheetData>
    <row r="1" spans="1:10" s="44" customFormat="1" ht="21" x14ac:dyDescent="0.4">
      <c r="A1" s="1883" t="str">
        <f>Tartalomjegyzék_2021!A1</f>
        <v>Pilisvörösvár Város Önkormányzata Képviselő-testületének 1/2021. (II. 15.) önkormányzati rendelete</v>
      </c>
      <c r="B1" s="1883"/>
      <c r="C1" s="1883"/>
      <c r="D1" s="1883"/>
      <c r="E1" s="1883"/>
      <c r="F1" s="1885"/>
      <c r="G1" s="1885"/>
      <c r="H1" s="1364" t="s">
        <v>758</v>
      </c>
    </row>
    <row r="2" spans="1:10" s="44" customFormat="1" ht="21" x14ac:dyDescent="0.4">
      <c r="A2" s="1883" t="str">
        <f>'17. finanszírozás be_ki (B8,K9)'!A2:D2</f>
        <v>az Önkormányzat  2021. évi költségvetéséről</v>
      </c>
      <c r="B2" s="1883"/>
      <c r="C2" s="1883"/>
      <c r="D2" s="1883"/>
      <c r="E2" s="1883"/>
      <c r="F2" s="1885"/>
      <c r="G2" s="1885"/>
      <c r="H2" s="1220"/>
    </row>
    <row r="3" spans="1:10" s="44" customFormat="1" ht="21" x14ac:dyDescent="0.4">
      <c r="A3" s="1883"/>
      <c r="B3" s="1884"/>
      <c r="C3" s="1884"/>
      <c r="D3" s="1884"/>
      <c r="E3" s="1221"/>
      <c r="F3" s="1222"/>
      <c r="G3" s="1222"/>
    </row>
    <row r="4" spans="1:10" s="44" customFormat="1" ht="21" x14ac:dyDescent="0.4">
      <c r="A4" s="1883" t="str">
        <f>Tartalomjegyzék_2021!B25</f>
        <v>Pilisvörösvár Város Önkormányzata és a Pilisvörösvári Polgármesteri Hivatal dologi kiadás előirányzata</v>
      </c>
      <c r="B4" s="1883"/>
      <c r="C4" s="1883"/>
      <c r="D4" s="1883"/>
      <c r="E4" s="1883"/>
      <c r="F4" s="1885"/>
      <c r="G4" s="1885"/>
      <c r="H4" s="1220"/>
    </row>
    <row r="5" spans="1:10" s="44" customFormat="1" ht="21" x14ac:dyDescent="0.4">
      <c r="A5" s="1223"/>
      <c r="B5" s="1223"/>
      <c r="C5" s="1223"/>
      <c r="D5" s="1223"/>
      <c r="E5" s="1223"/>
      <c r="G5" s="1224" t="s">
        <v>645</v>
      </c>
      <c r="H5" s="1225"/>
    </row>
    <row r="6" spans="1:10" s="44" customFormat="1" ht="21" x14ac:dyDescent="0.3">
      <c r="A6" s="1226"/>
      <c r="B6" s="1227"/>
      <c r="C6" s="1227"/>
      <c r="D6" s="1227"/>
      <c r="E6" s="1227"/>
      <c r="G6" s="1228"/>
      <c r="H6" s="1229"/>
      <c r="J6" s="1195"/>
    </row>
    <row r="7" spans="1:10" s="44" customFormat="1" ht="21" x14ac:dyDescent="0.4">
      <c r="A7" s="1230"/>
      <c r="D7" s="1230"/>
      <c r="E7" s="1230"/>
      <c r="G7" s="1231" t="s">
        <v>201</v>
      </c>
      <c r="H7" s="1229"/>
    </row>
    <row r="8" spans="1:10" s="44" customFormat="1" ht="84" customHeight="1" x14ac:dyDescent="0.3">
      <c r="A8" s="694" t="s">
        <v>153</v>
      </c>
      <c r="B8" s="694" t="s">
        <v>44</v>
      </c>
      <c r="C8" s="695" t="s">
        <v>143</v>
      </c>
      <c r="D8" s="536" t="str">
        <f>'17. finanszírozás be_ki (B8,K9)'!D24</f>
        <v>Önkormányzat 2020. évi eredeti előirányzat</v>
      </c>
      <c r="E8" s="536" t="str">
        <f>'17. finanszírozás be_ki (B8,K9)'!E24</f>
        <v>Önkormányzat 2021. évi eredeti előirányzat</v>
      </c>
      <c r="F8" s="536" t="str">
        <f>'2.Kiadások_részletes '!E8</f>
        <v>Polgármesteri Hivatal 2020. évi eredeti előirányzat</v>
      </c>
      <c r="G8" s="536" t="str">
        <f>'2.Kiadások_részletes '!F8</f>
        <v>Polgármesteri Hivatal 2021. évi eredeti előirányzat</v>
      </c>
      <c r="H8" s="1232"/>
      <c r="J8" s="1233"/>
    </row>
    <row r="9" spans="1:10" s="44" customFormat="1" ht="21" x14ac:dyDescent="0.3">
      <c r="A9" s="738" t="s">
        <v>154</v>
      </c>
      <c r="B9" s="738">
        <v>1</v>
      </c>
      <c r="C9" s="740" t="s">
        <v>155</v>
      </c>
      <c r="D9" s="658">
        <f>'18.Dologi kiad.Igazg.'!D29</f>
        <v>62423.491730000002</v>
      </c>
      <c r="E9" s="658">
        <f>'18.Dologi kiad.Igazg.'!E29</f>
        <v>58392</v>
      </c>
      <c r="F9" s="658">
        <f>'18.Dologi kiad.Igazg.'!F29</f>
        <v>51016.641100000001</v>
      </c>
      <c r="G9" s="658">
        <f>'18.Dologi kiad.Igazg.'!G29</f>
        <v>47789</v>
      </c>
      <c r="H9" s="537"/>
    </row>
    <row r="10" spans="1:10" s="44" customFormat="1" ht="21" x14ac:dyDescent="0.3">
      <c r="A10" s="738" t="s">
        <v>156</v>
      </c>
      <c r="B10" s="738">
        <v>2</v>
      </c>
      <c r="C10" s="740" t="s">
        <v>1009</v>
      </c>
      <c r="D10" s="658">
        <v>9660</v>
      </c>
      <c r="E10" s="658">
        <f>7813</f>
        <v>7813</v>
      </c>
      <c r="F10" s="658"/>
      <c r="G10" s="658"/>
      <c r="H10" s="537"/>
    </row>
    <row r="11" spans="1:10" s="44" customFormat="1" ht="42" x14ac:dyDescent="0.3">
      <c r="A11" s="738" t="s">
        <v>157</v>
      </c>
      <c r="B11" s="738">
        <v>3</v>
      </c>
      <c r="C11" s="740" t="s">
        <v>1008</v>
      </c>
      <c r="D11" s="658">
        <v>19089</v>
      </c>
      <c r="E11" s="658">
        <f>28189+5805</f>
        <v>33994</v>
      </c>
      <c r="F11" s="658"/>
      <c r="G11" s="658"/>
      <c r="H11" s="537"/>
      <c r="I11" s="1234"/>
    </row>
    <row r="12" spans="1:10" s="44" customFormat="1" ht="42" x14ac:dyDescent="0.3">
      <c r="A12" s="739" t="s">
        <v>783</v>
      </c>
      <c r="B12" s="738">
        <v>4</v>
      </c>
      <c r="C12" s="740" t="s">
        <v>784</v>
      </c>
      <c r="D12" s="658">
        <v>2554</v>
      </c>
      <c r="E12" s="658">
        <v>0</v>
      </c>
      <c r="F12" s="658"/>
      <c r="G12" s="658"/>
      <c r="H12" s="537"/>
      <c r="I12" s="1234"/>
    </row>
    <row r="13" spans="1:10" s="44" customFormat="1" ht="21" x14ac:dyDescent="0.3">
      <c r="A13" s="739" t="s">
        <v>631</v>
      </c>
      <c r="B13" s="738">
        <v>5</v>
      </c>
      <c r="C13" s="740" t="s">
        <v>632</v>
      </c>
      <c r="D13" s="658">
        <v>164</v>
      </c>
      <c r="E13" s="658">
        <v>0</v>
      </c>
      <c r="F13" s="658"/>
      <c r="G13" s="658"/>
      <c r="H13" s="537"/>
    </row>
    <row r="14" spans="1:10" s="44" customFormat="1" ht="20.399999999999999" customHeight="1" x14ac:dyDescent="0.3">
      <c r="A14" s="739" t="s">
        <v>572</v>
      </c>
      <c r="B14" s="738">
        <v>6</v>
      </c>
      <c r="C14" s="740" t="s">
        <v>651</v>
      </c>
      <c r="D14" s="658">
        <v>0</v>
      </c>
      <c r="E14" s="658">
        <v>0</v>
      </c>
      <c r="F14" s="658"/>
      <c r="G14" s="658"/>
      <c r="H14" s="537"/>
    </row>
    <row r="15" spans="1:10" s="44" customFormat="1" ht="21" x14ac:dyDescent="0.3">
      <c r="A15" s="738" t="s">
        <v>158</v>
      </c>
      <c r="B15" s="738">
        <v>7</v>
      </c>
      <c r="C15" s="740" t="s">
        <v>1006</v>
      </c>
      <c r="D15" s="658">
        <v>36554</v>
      </c>
      <c r="E15" s="658">
        <v>25408</v>
      </c>
      <c r="F15" s="658"/>
      <c r="G15" s="658"/>
      <c r="H15" s="537"/>
    </row>
    <row r="16" spans="1:10" s="44" customFormat="1" ht="21" x14ac:dyDescent="0.3">
      <c r="A16" s="738" t="s">
        <v>159</v>
      </c>
      <c r="B16" s="738">
        <v>8</v>
      </c>
      <c r="C16" s="740" t="s">
        <v>223</v>
      </c>
      <c r="D16" s="658">
        <v>3510</v>
      </c>
      <c r="E16" s="658">
        <v>2505</v>
      </c>
      <c r="F16" s="658"/>
      <c r="G16" s="658"/>
      <c r="H16" s="537"/>
    </row>
    <row r="17" spans="1:12" s="44" customFormat="1" ht="21" x14ac:dyDescent="0.3">
      <c r="A17" s="738" t="s">
        <v>517</v>
      </c>
      <c r="B17" s="738">
        <v>9</v>
      </c>
      <c r="C17" s="740" t="s">
        <v>518</v>
      </c>
      <c r="D17" s="658">
        <v>79</v>
      </c>
      <c r="E17" s="658">
        <v>77</v>
      </c>
      <c r="F17" s="658"/>
      <c r="G17" s="658"/>
      <c r="H17" s="537"/>
    </row>
    <row r="18" spans="1:12" s="44" customFormat="1" ht="21" x14ac:dyDescent="0.3">
      <c r="A18" s="739" t="s">
        <v>835</v>
      </c>
      <c r="B18" s="738">
        <v>10</v>
      </c>
      <c r="C18" s="740" t="s">
        <v>733</v>
      </c>
      <c r="D18" s="658">
        <v>3500</v>
      </c>
      <c r="E18" s="658">
        <v>1550</v>
      </c>
      <c r="F18" s="658"/>
      <c r="G18" s="658"/>
      <c r="H18" s="537"/>
    </row>
    <row r="19" spans="1:12" s="44" customFormat="1" ht="21" x14ac:dyDescent="0.3">
      <c r="A19" s="739" t="s">
        <v>580</v>
      </c>
      <c r="B19" s="738">
        <v>11</v>
      </c>
      <c r="C19" s="740" t="s">
        <v>581</v>
      </c>
      <c r="D19" s="658">
        <v>627</v>
      </c>
      <c r="E19" s="658">
        <v>500</v>
      </c>
      <c r="F19" s="658"/>
      <c r="G19" s="658"/>
      <c r="H19" s="537"/>
    </row>
    <row r="20" spans="1:12" s="44" customFormat="1" ht="21" x14ac:dyDescent="0.3">
      <c r="A20" s="739" t="s">
        <v>575</v>
      </c>
      <c r="B20" s="738">
        <v>12</v>
      </c>
      <c r="C20" s="740" t="s">
        <v>701</v>
      </c>
      <c r="D20" s="658">
        <v>191</v>
      </c>
      <c r="E20" s="658">
        <v>0</v>
      </c>
      <c r="F20" s="658"/>
      <c r="G20" s="658"/>
      <c r="H20" s="537"/>
    </row>
    <row r="21" spans="1:12" s="44" customFormat="1" ht="21" x14ac:dyDescent="0.3">
      <c r="A21" s="738" t="s">
        <v>160</v>
      </c>
      <c r="B21" s="738">
        <v>13</v>
      </c>
      <c r="C21" s="740" t="s">
        <v>161</v>
      </c>
      <c r="D21" s="658">
        <v>27048</v>
      </c>
      <c r="E21" s="658">
        <f>33000*1.033</f>
        <v>34089</v>
      </c>
      <c r="F21" s="658"/>
      <c r="G21" s="658"/>
      <c r="H21" s="537"/>
    </row>
    <row r="22" spans="1:12" s="44" customFormat="1" ht="21" x14ac:dyDescent="0.3">
      <c r="A22" s="738" t="s">
        <v>162</v>
      </c>
      <c r="B22" s="738">
        <v>14</v>
      </c>
      <c r="C22" s="740" t="s">
        <v>1007</v>
      </c>
      <c r="D22" s="658">
        <v>25763.4</v>
      </c>
      <c r="E22" s="658">
        <v>24876</v>
      </c>
      <c r="F22" s="658"/>
      <c r="G22" s="658"/>
      <c r="H22" s="537"/>
    </row>
    <row r="23" spans="1:12" s="44" customFormat="1" ht="21" x14ac:dyDescent="0.3">
      <c r="A23" s="738" t="s">
        <v>163</v>
      </c>
      <c r="B23" s="738">
        <v>15</v>
      </c>
      <c r="C23" s="740" t="s">
        <v>1005</v>
      </c>
      <c r="D23" s="658">
        <v>34476</v>
      </c>
      <c r="E23" s="658">
        <f>17355+1353</f>
        <v>18708</v>
      </c>
      <c r="F23" s="658">
        <v>912</v>
      </c>
      <c r="G23" s="658"/>
    </row>
    <row r="24" spans="1:12" s="44" customFormat="1" ht="21" x14ac:dyDescent="0.3">
      <c r="A24" s="739" t="s">
        <v>734</v>
      </c>
      <c r="B24" s="738">
        <v>16</v>
      </c>
      <c r="C24" s="740" t="s">
        <v>735</v>
      </c>
      <c r="D24" s="658">
        <v>4364</v>
      </c>
      <c r="E24" s="658">
        <v>0</v>
      </c>
      <c r="F24" s="658"/>
      <c r="G24" s="658"/>
    </row>
    <row r="25" spans="1:12" s="1233" customFormat="1" ht="21" x14ac:dyDescent="0.3">
      <c r="A25" s="739" t="s">
        <v>628</v>
      </c>
      <c r="B25" s="738">
        <v>17</v>
      </c>
      <c r="C25" s="740" t="s">
        <v>976</v>
      </c>
      <c r="D25" s="658">
        <v>0</v>
      </c>
      <c r="E25" s="658">
        <v>0</v>
      </c>
      <c r="F25" s="658">
        <v>0</v>
      </c>
      <c r="G25" s="658"/>
      <c r="H25" s="537"/>
    </row>
    <row r="26" spans="1:12" s="44" customFormat="1" ht="21" x14ac:dyDescent="0.3">
      <c r="A26" s="739" t="s">
        <v>164</v>
      </c>
      <c r="B26" s="738">
        <v>18</v>
      </c>
      <c r="C26" s="740" t="s">
        <v>800</v>
      </c>
      <c r="D26" s="658">
        <v>1816</v>
      </c>
      <c r="E26" s="658">
        <f>1420*1.033</f>
        <v>1466.86</v>
      </c>
      <c r="F26" s="658">
        <v>0</v>
      </c>
      <c r="G26" s="658"/>
      <c r="H26" s="537"/>
    </row>
    <row r="27" spans="1:12" s="44" customFormat="1" ht="32.25" hidden="1" customHeight="1" x14ac:dyDescent="0.3">
      <c r="A27" s="739" t="s">
        <v>578</v>
      </c>
      <c r="B27" s="738">
        <v>21</v>
      </c>
      <c r="C27" s="740" t="s">
        <v>579</v>
      </c>
      <c r="D27" s="658"/>
      <c r="E27" s="658"/>
      <c r="F27" s="658"/>
      <c r="G27" s="658"/>
      <c r="H27" s="537" t="s">
        <v>574</v>
      </c>
    </row>
    <row r="28" spans="1:12" s="44" customFormat="1" ht="63" hidden="1" x14ac:dyDescent="0.3">
      <c r="A28" s="739" t="s">
        <v>582</v>
      </c>
      <c r="B28" s="738">
        <v>22</v>
      </c>
      <c r="C28" s="740" t="s">
        <v>583</v>
      </c>
      <c r="D28" s="658"/>
      <c r="E28" s="658"/>
      <c r="F28" s="658"/>
      <c r="G28" s="658"/>
      <c r="H28" s="537"/>
    </row>
    <row r="29" spans="1:12" s="44" customFormat="1" ht="21" x14ac:dyDescent="0.3">
      <c r="A29" s="739" t="s">
        <v>595</v>
      </c>
      <c r="B29" s="738">
        <v>19</v>
      </c>
      <c r="C29" s="740" t="s">
        <v>596</v>
      </c>
      <c r="D29" s="658">
        <v>0</v>
      </c>
      <c r="E29" s="658">
        <v>0</v>
      </c>
      <c r="F29" s="658">
        <v>11288</v>
      </c>
      <c r="G29" s="658">
        <v>13263</v>
      </c>
      <c r="H29" s="537"/>
    </row>
    <row r="30" spans="1:12" s="44" customFormat="1" ht="21" x14ac:dyDescent="0.3">
      <c r="A30" s="738" t="s">
        <v>508</v>
      </c>
      <c r="B30" s="738">
        <v>20</v>
      </c>
      <c r="C30" s="740" t="s">
        <v>770</v>
      </c>
      <c r="D30" s="658">
        <v>0</v>
      </c>
      <c r="E30" s="658">
        <v>0</v>
      </c>
      <c r="F30" s="658">
        <v>59292</v>
      </c>
      <c r="G30" s="658">
        <f>69420+1403+750+241</f>
        <v>71814</v>
      </c>
      <c r="H30" s="545"/>
      <c r="I30" s="1234"/>
    </row>
    <row r="31" spans="1:12" s="44" customFormat="1" ht="22.5" customHeight="1" x14ac:dyDescent="0.3">
      <c r="A31" s="738">
        <v>104035</v>
      </c>
      <c r="B31" s="738">
        <v>21</v>
      </c>
      <c r="C31" s="740" t="s">
        <v>771</v>
      </c>
      <c r="D31" s="658">
        <v>0</v>
      </c>
      <c r="E31" s="658">
        <v>0</v>
      </c>
      <c r="F31" s="658">
        <v>1645</v>
      </c>
      <c r="G31" s="658">
        <v>1700</v>
      </c>
      <c r="J31" s="1234"/>
      <c r="K31" s="1234"/>
      <c r="L31" s="1234"/>
    </row>
    <row r="32" spans="1:12" s="44" customFormat="1" ht="22.5" customHeight="1" x14ac:dyDescent="0.3">
      <c r="A32" s="738">
        <v>107060</v>
      </c>
      <c r="B32" s="738">
        <v>22</v>
      </c>
      <c r="C32" s="740" t="s">
        <v>703</v>
      </c>
      <c r="D32" s="658">
        <v>60</v>
      </c>
      <c r="E32" s="658">
        <v>260</v>
      </c>
      <c r="F32" s="658">
        <v>0</v>
      </c>
      <c r="G32" s="658"/>
    </row>
    <row r="33" spans="1:12" s="44" customFormat="1" ht="20.25" customHeight="1" thickBot="1" x14ac:dyDescent="0.35">
      <c r="A33" s="741" t="s">
        <v>775</v>
      </c>
      <c r="B33" s="1439">
        <v>23</v>
      </c>
      <c r="C33" s="742" t="s">
        <v>977</v>
      </c>
      <c r="D33" s="1430">
        <v>0</v>
      </c>
      <c r="E33" s="1430">
        <v>0</v>
      </c>
      <c r="F33" s="1430">
        <v>100698</v>
      </c>
      <c r="G33" s="1430">
        <f>110419+447+750</f>
        <v>111616</v>
      </c>
      <c r="H33" s="537"/>
      <c r="I33" s="1230"/>
    </row>
    <row r="34" spans="1:12" s="421" customFormat="1" ht="23.4" thickBot="1" x14ac:dyDescent="0.35">
      <c r="A34" s="809"/>
      <c r="B34" s="1440" t="s">
        <v>138</v>
      </c>
      <c r="C34" s="1441" t="s">
        <v>243</v>
      </c>
      <c r="D34" s="1442">
        <f>SUM(D9:D33)</f>
        <v>231878.89173</v>
      </c>
      <c r="E34" s="1442">
        <f>SUM(E9:E33)</f>
        <v>209638.86</v>
      </c>
      <c r="F34" s="1442">
        <f>SUM(F9:F33)</f>
        <v>224851.64110000001</v>
      </c>
      <c r="G34" s="1443">
        <f>SUM(G9:G33)</f>
        <v>246182</v>
      </c>
      <c r="H34" s="537"/>
      <c r="I34" s="787"/>
      <c r="J34" s="1230"/>
      <c r="K34" s="1230"/>
      <c r="L34" s="1230"/>
    </row>
    <row r="35" spans="1:12" ht="20.399999999999999" hidden="1" x14ac:dyDescent="0.3">
      <c r="E35" s="804"/>
      <c r="H35" s="538"/>
    </row>
    <row r="36" spans="1:12" hidden="1" x14ac:dyDescent="0.3"/>
    <row r="37" spans="1:12" hidden="1" x14ac:dyDescent="0.3">
      <c r="E37" s="804"/>
    </row>
    <row r="38" spans="1:12" hidden="1" x14ac:dyDescent="0.3"/>
    <row r="39" spans="1:12" hidden="1" x14ac:dyDescent="0.3"/>
    <row r="40" spans="1:12" hidden="1" x14ac:dyDescent="0.3"/>
    <row r="41" spans="1:12" hidden="1" x14ac:dyDescent="0.3"/>
    <row r="42" spans="1:12" hidden="1" x14ac:dyDescent="0.3"/>
    <row r="43" spans="1:12" hidden="1" x14ac:dyDescent="0.3"/>
    <row r="44" spans="1:12" hidden="1" x14ac:dyDescent="0.3"/>
    <row r="45" spans="1:12" hidden="1" x14ac:dyDescent="0.3"/>
    <row r="46" spans="1:12" hidden="1" x14ac:dyDescent="0.3"/>
    <row r="47" spans="1:12" hidden="1" x14ac:dyDescent="0.3"/>
    <row r="48" spans="1:12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</sheetData>
  <mergeCells count="4">
    <mergeCell ref="A3:D3"/>
    <mergeCell ref="A1:G1"/>
    <mergeCell ref="A2:G2"/>
    <mergeCell ref="A4:G4"/>
  </mergeCells>
  <hyperlinks>
    <hyperlink ref="H1" location="Munka1!A1" display="Munka1!A1" xr:uid="{00000000-0004-0000-1400-000000000000}"/>
  </hyperlinks>
  <pageMargins left="0.19" right="0.12" top="1" bottom="1" header="0.5" footer="0.5"/>
  <pageSetup paperSize="9" scale="5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G51"/>
  <sheetViews>
    <sheetView view="pageBreakPreview" topLeftCell="A4" zoomScale="60" zoomScaleNormal="100" workbookViewId="0">
      <selection activeCell="B14" sqref="B14"/>
    </sheetView>
  </sheetViews>
  <sheetFormatPr defaultRowHeight="13.8" x14ac:dyDescent="0.3"/>
  <cols>
    <col min="1" max="1" width="10.77734375" bestFit="1" customWidth="1"/>
    <col min="2" max="2" width="8.77734375" bestFit="1" customWidth="1"/>
    <col min="3" max="3" width="55.109375" customWidth="1"/>
    <col min="4" max="4" width="24.109375" customWidth="1"/>
    <col min="5" max="5" width="17.44140625" customWidth="1"/>
    <col min="6" max="6" width="21" customWidth="1"/>
    <col min="7" max="7" width="23.5546875" customWidth="1"/>
    <col min="8" max="28" width="0" hidden="1" customWidth="1"/>
  </cols>
  <sheetData>
    <row r="1" spans="1:7" ht="17.399999999999999" x14ac:dyDescent="0.3">
      <c r="A1" s="1844" t="str">
        <f>[6]Tartalomjegyzék_2021!A1</f>
        <v>Pilisvörösvár Város Önkormányzata Képviselő-testületének /2021. (. .) önkormányzati rendelete</v>
      </c>
      <c r="B1" s="1844"/>
      <c r="C1" s="1844"/>
      <c r="D1" s="1844"/>
      <c r="E1" s="1844"/>
      <c r="F1" s="1844"/>
      <c r="G1" s="1844"/>
    </row>
    <row r="2" spans="1:7" ht="17.399999999999999" x14ac:dyDescent="0.3">
      <c r="A2" s="1844" t="str">
        <f>'[6]18. Dologi kiadások cofog(K3)'!A2:F2</f>
        <v>az Önkormányzat  2021. évi költségvetéséről</v>
      </c>
      <c r="B2" s="1844"/>
      <c r="C2" s="1844"/>
      <c r="D2" s="1844"/>
      <c r="E2" s="1844"/>
      <c r="F2" s="1844"/>
      <c r="G2" s="1844"/>
    </row>
    <row r="3" spans="1:7" ht="17.399999999999999" x14ac:dyDescent="0.3">
      <c r="A3" s="1844" t="str">
        <f>Tartalomjegyzék_2021!B26</f>
        <v>Pilisvörösvár Város Önkormányzata és a Pilisvörösvári Polgármesteri Hivatal általános igazgatási tevékenységének dologi kiadásai</v>
      </c>
      <c r="B3" s="1844"/>
      <c r="C3" s="1844"/>
      <c r="D3" s="1844"/>
      <c r="E3" s="1844"/>
      <c r="F3" s="1844"/>
      <c r="G3" s="1844"/>
    </row>
    <row r="4" spans="1:7" ht="18" x14ac:dyDescent="0.35">
      <c r="A4" s="510"/>
      <c r="B4" s="510"/>
      <c r="C4" s="510"/>
      <c r="D4" s="510"/>
      <c r="E4" s="510"/>
      <c r="F4" s="461"/>
      <c r="G4" s="521" t="s">
        <v>985</v>
      </c>
    </row>
    <row r="5" spans="1:7" ht="18" x14ac:dyDescent="0.3">
      <c r="A5" s="1564"/>
      <c r="B5" s="1565"/>
      <c r="C5" s="1565"/>
      <c r="D5" s="1565"/>
      <c r="E5" s="1565"/>
      <c r="F5" s="461"/>
      <c r="G5" s="271"/>
    </row>
    <row r="6" spans="1:7" ht="18.600000000000001" thickBot="1" x14ac:dyDescent="0.35">
      <c r="A6" s="461"/>
      <c r="B6" s="1566"/>
      <c r="C6" s="461"/>
      <c r="D6" s="1567"/>
      <c r="E6" s="1567"/>
      <c r="F6" s="461"/>
      <c r="G6" s="1568" t="s">
        <v>201</v>
      </c>
    </row>
    <row r="7" spans="1:7" ht="47.4" thickBot="1" x14ac:dyDescent="0.35">
      <c r="A7" s="1725" t="s">
        <v>3</v>
      </c>
      <c r="B7" s="1726" t="s">
        <v>124</v>
      </c>
      <c r="C7" s="1727" t="s">
        <v>241</v>
      </c>
      <c r="D7" s="1728" t="str">
        <f>'[6]18. Dologi kiadások cofog(K3)'!D8</f>
        <v>Önkormányzat 2020. évi eredeti előirányzat</v>
      </c>
      <c r="E7" s="1729" t="str">
        <f>'[6]18. Dologi kiadások cofog(K3)'!E8</f>
        <v>Önkormányzat 2021. évi eredeti előirányzat</v>
      </c>
      <c r="F7" s="1728" t="str">
        <f>'[6]18. Dologi kiadások cofog(K3)'!F8</f>
        <v>Polgármesteri Hivatal 2020. évi eredeti előirányzat</v>
      </c>
      <c r="G7" s="1729" t="str">
        <f>'[6]18. Dologi kiadások cofog(K3)'!G8</f>
        <v>Polgármesteri Hivatal 2021. évi eredeti előirányzat</v>
      </c>
    </row>
    <row r="8" spans="1:7" ht="22.8" x14ac:dyDescent="0.3">
      <c r="A8" s="1730" t="s">
        <v>932</v>
      </c>
      <c r="B8" s="1731" t="s">
        <v>933</v>
      </c>
      <c r="C8" s="1732" t="s">
        <v>934</v>
      </c>
      <c r="D8" s="1733">
        <v>0</v>
      </c>
      <c r="E8" s="1734"/>
      <c r="F8" s="1733">
        <f>119074*1.27/1000</f>
        <v>151.22398000000001</v>
      </c>
      <c r="G8" s="1734">
        <v>156</v>
      </c>
    </row>
    <row r="9" spans="1:7" ht="22.8" x14ac:dyDescent="0.3">
      <c r="A9" s="1569" t="s">
        <v>935</v>
      </c>
      <c r="B9" s="1570" t="s">
        <v>936</v>
      </c>
      <c r="C9" s="1571" t="s">
        <v>964</v>
      </c>
      <c r="D9" s="1723">
        <v>1069</v>
      </c>
      <c r="E9" s="1572">
        <v>1978</v>
      </c>
      <c r="F9" s="1723">
        <v>6614</v>
      </c>
      <c r="G9" s="1572">
        <v>6559</v>
      </c>
    </row>
    <row r="10" spans="1:7" ht="22.8" x14ac:dyDescent="0.3">
      <c r="A10" s="1569" t="s">
        <v>568</v>
      </c>
      <c r="B10" s="1570" t="s">
        <v>937</v>
      </c>
      <c r="C10" s="1571" t="s">
        <v>965</v>
      </c>
      <c r="D10" s="1723">
        <v>0</v>
      </c>
      <c r="E10" s="1572">
        <v>1500</v>
      </c>
      <c r="F10" s="1723">
        <v>0</v>
      </c>
      <c r="G10" s="1572">
        <v>0</v>
      </c>
    </row>
    <row r="11" spans="1:7" ht="22.8" x14ac:dyDescent="0.3">
      <c r="A11" s="1573" t="s">
        <v>125</v>
      </c>
      <c r="B11" s="1574" t="s">
        <v>938</v>
      </c>
      <c r="C11" s="1575" t="s">
        <v>939</v>
      </c>
      <c r="D11" s="1577">
        <f>SUM(D8:D10)</f>
        <v>1069</v>
      </c>
      <c r="E11" s="1576">
        <f>SUM(E8:E10)</f>
        <v>3478</v>
      </c>
      <c r="F11" s="1577">
        <f>SUM(F8:F10)</f>
        <v>6765.2239799999998</v>
      </c>
      <c r="G11" s="1576">
        <f>SUM(G8:G10)</f>
        <v>6715</v>
      </c>
    </row>
    <row r="12" spans="1:7" ht="22.8" x14ac:dyDescent="0.3">
      <c r="A12" s="1569" t="s">
        <v>126</v>
      </c>
      <c r="B12" s="1570" t="s">
        <v>940</v>
      </c>
      <c r="C12" s="1571" t="s">
        <v>966</v>
      </c>
      <c r="D12" s="1724">
        <v>5413</v>
      </c>
      <c r="E12" s="1578">
        <v>5649</v>
      </c>
      <c r="F12" s="1724">
        <v>9217</v>
      </c>
      <c r="G12" s="1578">
        <v>10994</v>
      </c>
    </row>
    <row r="13" spans="1:7" ht="22.8" x14ac:dyDescent="0.3">
      <c r="A13" s="1569" t="s">
        <v>569</v>
      </c>
      <c r="B13" s="1570" t="s">
        <v>941</v>
      </c>
      <c r="C13" s="1571" t="s">
        <v>942</v>
      </c>
      <c r="D13" s="1724">
        <f>405653*1.27/1000</f>
        <v>515.17930999999999</v>
      </c>
      <c r="E13" s="1578">
        <v>559</v>
      </c>
      <c r="F13" s="1724">
        <f>699767*1.27/1000</f>
        <v>888.70408999999995</v>
      </c>
      <c r="G13" s="1578">
        <v>852</v>
      </c>
    </row>
    <row r="14" spans="1:7" ht="22.8" x14ac:dyDescent="0.3">
      <c r="A14" s="1573" t="s">
        <v>712</v>
      </c>
      <c r="B14" s="1574" t="s">
        <v>943</v>
      </c>
      <c r="C14" s="1575" t="s">
        <v>944</v>
      </c>
      <c r="D14" s="1577">
        <f>SUM(D12:D13)</f>
        <v>5928.1793099999995</v>
      </c>
      <c r="E14" s="1576">
        <f>SUM(E12:E13)</f>
        <v>6208</v>
      </c>
      <c r="F14" s="1577">
        <f>SUM(F12:F13)</f>
        <v>10105.704089999999</v>
      </c>
      <c r="G14" s="1576">
        <f>SUM(G12:G13)</f>
        <v>11846</v>
      </c>
    </row>
    <row r="15" spans="1:7" ht="22.8" x14ac:dyDescent="0.3">
      <c r="A15" s="1569" t="s">
        <v>127</v>
      </c>
      <c r="B15" s="1570" t="s">
        <v>945</v>
      </c>
      <c r="C15" s="1571" t="s">
        <v>967</v>
      </c>
      <c r="D15" s="1724">
        <f>153695*1.27/1000</f>
        <v>195.19264999999999</v>
      </c>
      <c r="E15" s="1578">
        <v>359</v>
      </c>
      <c r="F15" s="1724">
        <f>5001537*1.27/1000</f>
        <v>6351.9519900000005</v>
      </c>
      <c r="G15" s="1578">
        <v>5800</v>
      </c>
    </row>
    <row r="16" spans="1:7" ht="22.8" x14ac:dyDescent="0.3">
      <c r="A16" s="1569" t="s">
        <v>128</v>
      </c>
      <c r="B16" s="1570" t="s">
        <v>946</v>
      </c>
      <c r="C16" s="1571" t="s">
        <v>947</v>
      </c>
      <c r="D16" s="1724">
        <f>10340*1.27/1000</f>
        <v>13.131800000000002</v>
      </c>
      <c r="E16" s="1578">
        <v>3277</v>
      </c>
      <c r="F16" s="1724"/>
      <c r="G16" s="1578"/>
    </row>
    <row r="17" spans="1:7" ht="22.8" x14ac:dyDescent="0.3">
      <c r="A17" s="1569" t="s">
        <v>129</v>
      </c>
      <c r="B17" s="1570" t="s">
        <v>948</v>
      </c>
      <c r="C17" s="1579" t="s">
        <v>949</v>
      </c>
      <c r="D17" s="1724">
        <f>727291*1.27/1000+1</f>
        <v>924.65957000000003</v>
      </c>
      <c r="E17" s="1578">
        <v>197</v>
      </c>
      <c r="F17" s="1724">
        <f>3332552*1.27/1000</f>
        <v>4232.3410400000002</v>
      </c>
      <c r="G17" s="1578">
        <v>3606</v>
      </c>
    </row>
    <row r="18" spans="1:7" ht="22.8" x14ac:dyDescent="0.3">
      <c r="A18" s="1569" t="s">
        <v>130</v>
      </c>
      <c r="B18" s="1570" t="s">
        <v>950</v>
      </c>
      <c r="C18" s="1571" t="s">
        <v>968</v>
      </c>
      <c r="D18" s="1724">
        <f>1206238*1.27/1000</f>
        <v>1531.9222600000001</v>
      </c>
      <c r="E18" s="1578">
        <v>2099</v>
      </c>
      <c r="F18" s="1724">
        <v>1272</v>
      </c>
      <c r="G18" s="1578">
        <v>1843</v>
      </c>
    </row>
    <row r="19" spans="1:7" ht="22.8" x14ac:dyDescent="0.3">
      <c r="A19" s="1569" t="s">
        <v>131</v>
      </c>
      <c r="B19" s="1570" t="s">
        <v>951</v>
      </c>
      <c r="C19" s="1571" t="s">
        <v>969</v>
      </c>
      <c r="D19" s="1724">
        <f>629920*1.27/1000+10000</f>
        <v>10799.9984</v>
      </c>
      <c r="E19" s="1578">
        <v>0</v>
      </c>
      <c r="F19" s="1724">
        <v>0</v>
      </c>
      <c r="G19" s="1578"/>
    </row>
    <row r="20" spans="1:7" ht="22.8" x14ac:dyDescent="0.3">
      <c r="A20" s="1569" t="s">
        <v>132</v>
      </c>
      <c r="B20" s="1570" t="s">
        <v>971</v>
      </c>
      <c r="C20" s="1580" t="s">
        <v>970</v>
      </c>
      <c r="D20" s="1724">
        <v>24241</v>
      </c>
      <c r="E20" s="1578">
        <v>26137</v>
      </c>
      <c r="F20" s="1724">
        <v>17639</v>
      </c>
      <c r="G20" s="1578">
        <v>14400</v>
      </c>
    </row>
    <row r="21" spans="1:7" ht="22.8" x14ac:dyDescent="0.3">
      <c r="A21" s="1573" t="s">
        <v>133</v>
      </c>
      <c r="B21" s="1574" t="s">
        <v>952</v>
      </c>
      <c r="C21" s="1575" t="s">
        <v>953</v>
      </c>
      <c r="D21" s="1577">
        <f>SUM(D15:D20)</f>
        <v>37705.90468</v>
      </c>
      <c r="E21" s="1576">
        <f>SUM(E15:E20)</f>
        <v>32069</v>
      </c>
      <c r="F21" s="1577">
        <f>SUM(F15:F20)</f>
        <v>29495.293030000001</v>
      </c>
      <c r="G21" s="1576">
        <f>SUM(G15:G20)</f>
        <v>25649</v>
      </c>
    </row>
    <row r="22" spans="1:7" ht="22.8" x14ac:dyDescent="0.3">
      <c r="A22" s="1569" t="s">
        <v>134</v>
      </c>
      <c r="B22" s="1570" t="s">
        <v>954</v>
      </c>
      <c r="C22" s="1579" t="s">
        <v>955</v>
      </c>
      <c r="D22" s="1724">
        <v>0</v>
      </c>
      <c r="E22" s="1578">
        <v>0</v>
      </c>
      <c r="F22" s="1724">
        <f>46*1.27</f>
        <v>58.42</v>
      </c>
      <c r="G22" s="1578">
        <v>70</v>
      </c>
    </row>
    <row r="23" spans="1:7" ht="22.8" x14ac:dyDescent="0.3">
      <c r="A23" s="1569" t="s">
        <v>135</v>
      </c>
      <c r="B23" s="1570" t="s">
        <v>956</v>
      </c>
      <c r="C23" s="1579" t="s">
        <v>975</v>
      </c>
      <c r="D23" s="1724">
        <f>5272762*1.27/1000</f>
        <v>6696.4077400000006</v>
      </c>
      <c r="E23" s="1578">
        <v>7201</v>
      </c>
      <c r="F23" s="1724">
        <v>0</v>
      </c>
      <c r="G23" s="1578">
        <v>0</v>
      </c>
    </row>
    <row r="24" spans="1:7" ht="22.8" x14ac:dyDescent="0.3">
      <c r="A24" s="1573" t="s">
        <v>918</v>
      </c>
      <c r="B24" s="1574" t="s">
        <v>957</v>
      </c>
      <c r="C24" s="1575" t="s">
        <v>958</v>
      </c>
      <c r="D24" s="1577">
        <f>SUM(D22:D23)</f>
        <v>6696.4077400000006</v>
      </c>
      <c r="E24" s="1576">
        <f>SUM(E22:E23)</f>
        <v>7201</v>
      </c>
      <c r="F24" s="1577">
        <f>SUM(F22:F23)</f>
        <v>58.42</v>
      </c>
      <c r="G24" s="1576">
        <f>SUM(G22:G23)</f>
        <v>70</v>
      </c>
    </row>
    <row r="25" spans="1:7" ht="22.8" x14ac:dyDescent="0.3">
      <c r="A25" s="1569" t="s">
        <v>136</v>
      </c>
      <c r="B25" s="1570" t="s">
        <v>959</v>
      </c>
      <c r="C25" s="1580" t="s">
        <v>960</v>
      </c>
      <c r="D25" s="1724">
        <v>1126</v>
      </c>
      <c r="E25" s="1578">
        <v>446</v>
      </c>
      <c r="F25" s="1724">
        <v>1848</v>
      </c>
      <c r="G25" s="1578">
        <v>167</v>
      </c>
    </row>
    <row r="26" spans="1:7" ht="22.8" x14ac:dyDescent="0.3">
      <c r="A26" s="1569" t="s">
        <v>137</v>
      </c>
      <c r="B26" s="1570" t="s">
        <v>961</v>
      </c>
      <c r="C26" s="1580" t="s">
        <v>972</v>
      </c>
      <c r="D26" s="1724">
        <v>150</v>
      </c>
      <c r="E26" s="1578">
        <v>150</v>
      </c>
      <c r="F26" s="1724">
        <v>0</v>
      </c>
      <c r="G26" s="1578">
        <v>0</v>
      </c>
    </row>
    <row r="27" spans="1:7" ht="22.8" x14ac:dyDescent="0.3">
      <c r="A27" s="1569" t="s">
        <v>570</v>
      </c>
      <c r="B27" s="1570" t="s">
        <v>973</v>
      </c>
      <c r="C27" s="1579" t="s">
        <v>974</v>
      </c>
      <c r="D27" s="1724">
        <v>9748</v>
      </c>
      <c r="E27" s="1578">
        <v>8840</v>
      </c>
      <c r="F27" s="1724">
        <v>2744</v>
      </c>
      <c r="G27" s="1578">
        <v>3342</v>
      </c>
    </row>
    <row r="28" spans="1:7" ht="22.8" x14ac:dyDescent="0.3">
      <c r="A28" s="1573" t="s">
        <v>888</v>
      </c>
      <c r="B28" s="1574" t="s">
        <v>962</v>
      </c>
      <c r="C28" s="1575" t="s">
        <v>963</v>
      </c>
      <c r="D28" s="1577">
        <f>SUM(D25:D27)</f>
        <v>11024</v>
      </c>
      <c r="E28" s="1576">
        <f>SUM(E25:E27)</f>
        <v>9436</v>
      </c>
      <c r="F28" s="1577">
        <f>SUM(F25:F27)</f>
        <v>4592</v>
      </c>
      <c r="G28" s="1576">
        <f>SUM(G25:G27)</f>
        <v>3509</v>
      </c>
    </row>
    <row r="29" spans="1:7" ht="23.4" thickBot="1" x14ac:dyDescent="0.35">
      <c r="A29" s="1581" t="s">
        <v>889</v>
      </c>
      <c r="B29" s="1582" t="s">
        <v>170</v>
      </c>
      <c r="C29" s="1583" t="s">
        <v>171</v>
      </c>
      <c r="D29" s="1585">
        <f>D28+D24+D21+D14+D11</f>
        <v>62423.491730000002</v>
      </c>
      <c r="E29" s="1584">
        <f>E28+E24+E21+E14+E11</f>
        <v>58392</v>
      </c>
      <c r="F29" s="1585">
        <f>F28+F24+F21+F14+F11</f>
        <v>51016.641100000001</v>
      </c>
      <c r="G29" s="1584">
        <f>G28+G24+G21+G14+G11</f>
        <v>47789</v>
      </c>
    </row>
    <row r="30" spans="1:7" hidden="1" x14ac:dyDescent="0.3"/>
    <row r="31" spans="1:7" hidden="1" x14ac:dyDescent="0.3"/>
    <row r="32" spans="1:7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</sheetData>
  <mergeCells count="3">
    <mergeCell ref="A1:G1"/>
    <mergeCell ref="A2:G2"/>
    <mergeCell ref="A3:G3"/>
  </mergeCells>
  <pageMargins left="0.7" right="0.7" top="0.75" bottom="0.75" header="0.3" footer="0.3"/>
  <pageSetup paperSize="9" scale="6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23">
    <tabColor rgb="FF92D050"/>
    <pageSetUpPr fitToPage="1"/>
  </sheetPr>
  <dimension ref="A1:H39"/>
  <sheetViews>
    <sheetView view="pageBreakPreview" topLeftCell="A7" zoomScale="55" zoomScaleSheetLayoutView="55" workbookViewId="0">
      <selection activeCell="B14" sqref="B14"/>
    </sheetView>
  </sheetViews>
  <sheetFormatPr defaultColWidth="9.109375" defaultRowHeight="13.8" x14ac:dyDescent="0.25"/>
  <cols>
    <col min="1" max="1" width="9.109375" style="47"/>
    <col min="2" max="2" width="12" style="46" customWidth="1"/>
    <col min="3" max="3" width="117.109375" style="46" customWidth="1"/>
    <col min="4" max="5" width="17.33203125" style="565" customWidth="1"/>
    <col min="6" max="7" width="16.6640625" style="565" customWidth="1"/>
    <col min="8" max="19" width="0" style="46" hidden="1" customWidth="1"/>
    <col min="20" max="16384" width="9.109375" style="46"/>
  </cols>
  <sheetData>
    <row r="1" spans="1:8" ht="17.399999999999999" x14ac:dyDescent="0.3">
      <c r="A1" s="1841" t="str">
        <f>Tartalomjegyzék_2021!A1</f>
        <v>Pilisvörösvár Város Önkormányzata Képviselő-testületének 1/2021. (II. 15.) önkormányzati rendelete</v>
      </c>
      <c r="B1" s="1841"/>
      <c r="C1" s="1841"/>
      <c r="D1" s="1841"/>
      <c r="E1" s="1841"/>
      <c r="F1" s="1886"/>
      <c r="G1" s="1886"/>
      <c r="H1" s="1362" t="s">
        <v>758</v>
      </c>
    </row>
    <row r="2" spans="1:8" ht="17.399999999999999" x14ac:dyDescent="0.3">
      <c r="A2" s="1841" t="str">
        <f>'18. Dologi kiadások cofog(K3)'!A2:G2</f>
        <v>az Önkormányzat  2021. évi költségvetéséről</v>
      </c>
      <c r="B2" s="1841"/>
      <c r="C2" s="1841"/>
      <c r="D2" s="1841"/>
      <c r="E2" s="1841"/>
      <c r="F2" s="1886"/>
      <c r="G2" s="1886"/>
    </row>
    <row r="3" spans="1:8" ht="17.399999999999999" x14ac:dyDescent="0.3">
      <c r="A3" s="1841" t="str">
        <f>Tartalomjegyzék_2021!B27</f>
        <v>Pilisvörösvár Város Önkormányzata és a Pilisvörösvári Polgármesteri Hivatal ellátottak pénzbeli juttatásai, szociális és gyermekjóléti pénzbeli és természetbeni juttatások előirányzata</v>
      </c>
      <c r="B3" s="1841"/>
      <c r="C3" s="1841"/>
      <c r="D3" s="1841"/>
      <c r="E3" s="1841"/>
      <c r="F3" s="1886"/>
      <c r="G3" s="1886"/>
    </row>
    <row r="4" spans="1:8" ht="18" x14ac:dyDescent="0.35">
      <c r="A4" s="511"/>
      <c r="B4" s="511"/>
      <c r="C4" s="511"/>
      <c r="D4" s="563"/>
      <c r="E4" s="563"/>
      <c r="G4" s="664" t="s">
        <v>920</v>
      </c>
    </row>
    <row r="5" spans="1:8" ht="18" x14ac:dyDescent="0.3">
      <c r="A5" s="3"/>
      <c r="B5" s="156"/>
      <c r="C5" s="156"/>
      <c r="D5" s="564"/>
      <c r="E5" s="564"/>
      <c r="G5" s="271"/>
    </row>
    <row r="6" spans="1:8" ht="21.6" thickBot="1" x14ac:dyDescent="0.45">
      <c r="G6" s="665" t="s">
        <v>201</v>
      </c>
    </row>
    <row r="7" spans="1:8" s="49" customFormat="1" ht="88.5" customHeight="1" thickBot="1" x14ac:dyDescent="0.35">
      <c r="A7" s="157" t="s">
        <v>44</v>
      </c>
      <c r="B7" s="659" t="s">
        <v>124</v>
      </c>
      <c r="C7" s="1735" t="s">
        <v>143</v>
      </c>
      <c r="D7" s="1746" t="str">
        <f>'18. Dologi kiadások cofog(K3)'!D8</f>
        <v>Önkormányzat 2020. évi eredeti előirányzat</v>
      </c>
      <c r="E7" s="826" t="str">
        <f>'18. Dologi kiadások cofog(K3)'!E8</f>
        <v>Önkormányzat 2021. évi eredeti előirányzat</v>
      </c>
      <c r="F7" s="1741" t="str">
        <f>'18. Dologi kiadások cofog(K3)'!F8</f>
        <v>Polgármesteri Hivatal 2020. évi eredeti előirányzat</v>
      </c>
      <c r="G7" s="826" t="str">
        <f>'18. Dologi kiadások cofog(K3)'!G8</f>
        <v>Polgármesteri Hivatal 2021. évi eredeti előirányzat</v>
      </c>
    </row>
    <row r="8" spans="1:8" ht="18.75" customHeight="1" thickBot="1" x14ac:dyDescent="0.4">
      <c r="A8" s="704">
        <v>1</v>
      </c>
      <c r="B8" s="660" t="s">
        <v>144</v>
      </c>
      <c r="C8" s="1736" t="s">
        <v>145</v>
      </c>
      <c r="D8" s="1747">
        <v>0</v>
      </c>
      <c r="E8" s="827">
        <v>0</v>
      </c>
      <c r="F8" s="1808">
        <v>0</v>
      </c>
      <c r="G8" s="1809">
        <v>0</v>
      </c>
    </row>
    <row r="9" spans="1:8" ht="18.75" customHeight="1" x14ac:dyDescent="0.4">
      <c r="A9" s="705">
        <v>2</v>
      </c>
      <c r="B9" s="661" t="s">
        <v>146</v>
      </c>
      <c r="C9" s="1737" t="s">
        <v>147</v>
      </c>
      <c r="D9" s="1748"/>
      <c r="E9" s="1807"/>
      <c r="F9" s="1812">
        <v>2500</v>
      </c>
      <c r="G9" s="1813">
        <v>0</v>
      </c>
      <c r="H9" s="46" t="s">
        <v>834</v>
      </c>
    </row>
    <row r="10" spans="1:8" ht="18.75" customHeight="1" thickBot="1" x14ac:dyDescent="0.45">
      <c r="A10" s="706">
        <v>3</v>
      </c>
      <c r="B10" s="662" t="s">
        <v>146</v>
      </c>
      <c r="C10" s="1738" t="s">
        <v>833</v>
      </c>
      <c r="D10" s="1748"/>
      <c r="E10" s="1807"/>
      <c r="F10" s="1814">
        <v>1000</v>
      </c>
      <c r="G10" s="1815">
        <v>1000</v>
      </c>
    </row>
    <row r="11" spans="1:8" s="50" customFormat="1" ht="18.75" customHeight="1" thickBot="1" x14ac:dyDescent="0.4">
      <c r="A11" s="704">
        <v>5</v>
      </c>
      <c r="B11" s="660" t="s">
        <v>146</v>
      </c>
      <c r="C11" s="1736" t="s">
        <v>149</v>
      </c>
      <c r="D11" s="1747">
        <f>SUM(D9:D10)</f>
        <v>0</v>
      </c>
      <c r="E11" s="827">
        <f>SUM(E9:E10)</f>
        <v>0</v>
      </c>
      <c r="F11" s="1810">
        <f>SUM(F9:F10)</f>
        <v>3500</v>
      </c>
      <c r="G11" s="1811">
        <f>SUM(G9:G10)</f>
        <v>1000</v>
      </c>
    </row>
    <row r="12" spans="1:8" s="461" customFormat="1" ht="18.75" customHeight="1" x14ac:dyDescent="0.3">
      <c r="A12" s="706">
        <v>10</v>
      </c>
      <c r="B12" s="662" t="s">
        <v>150</v>
      </c>
      <c r="C12" s="1738" t="s">
        <v>93</v>
      </c>
      <c r="D12" s="1749">
        <v>500</v>
      </c>
      <c r="E12" s="1429">
        <v>500</v>
      </c>
      <c r="F12" s="1742"/>
      <c r="G12" s="533"/>
      <c r="H12" s="461">
        <v>84</v>
      </c>
    </row>
    <row r="13" spans="1:8" s="461" customFormat="1" ht="18.75" customHeight="1" x14ac:dyDescent="0.3">
      <c r="A13" s="706">
        <v>11</v>
      </c>
      <c r="B13" s="662" t="s">
        <v>150</v>
      </c>
      <c r="C13" s="1738" t="s">
        <v>151</v>
      </c>
      <c r="D13" s="1749">
        <v>1000</v>
      </c>
      <c r="E13" s="1429">
        <v>1000</v>
      </c>
      <c r="F13" s="1742"/>
      <c r="G13" s="533"/>
    </row>
    <row r="14" spans="1:8" s="461" customFormat="1" ht="18.75" customHeight="1" x14ac:dyDescent="0.3">
      <c r="A14" s="706">
        <v>12</v>
      </c>
      <c r="B14" s="662" t="s">
        <v>150</v>
      </c>
      <c r="C14" s="1738" t="s">
        <v>94</v>
      </c>
      <c r="D14" s="1749">
        <v>2500</v>
      </c>
      <c r="E14" s="1429">
        <v>2500</v>
      </c>
      <c r="F14" s="1742"/>
      <c r="G14" s="533"/>
      <c r="H14" s="461">
        <v>81</v>
      </c>
    </row>
    <row r="15" spans="1:8" s="461" customFormat="1" ht="31.2" x14ac:dyDescent="0.3">
      <c r="A15" s="706">
        <v>13</v>
      </c>
      <c r="B15" s="662" t="s">
        <v>150</v>
      </c>
      <c r="C15" s="1738" t="s">
        <v>95</v>
      </c>
      <c r="D15" s="1749">
        <v>200</v>
      </c>
      <c r="E15" s="1429">
        <v>200</v>
      </c>
      <c r="F15" s="1742"/>
      <c r="G15" s="533"/>
      <c r="H15" s="461">
        <v>82</v>
      </c>
    </row>
    <row r="16" spans="1:8" s="461" customFormat="1" ht="18.75" customHeight="1" x14ac:dyDescent="0.3">
      <c r="A16" s="706">
        <v>14</v>
      </c>
      <c r="B16" s="662" t="s">
        <v>150</v>
      </c>
      <c r="C16" s="1738" t="s">
        <v>519</v>
      </c>
      <c r="D16" s="1749">
        <v>1000</v>
      </c>
      <c r="E16" s="1429">
        <v>1000</v>
      </c>
      <c r="F16" s="1742"/>
      <c r="G16" s="533"/>
      <c r="H16" s="461">
        <v>83</v>
      </c>
    </row>
    <row r="17" spans="1:8" s="461" customFormat="1" ht="18.75" customHeight="1" x14ac:dyDescent="0.3">
      <c r="A17" s="706">
        <v>15</v>
      </c>
      <c r="B17" s="662" t="s">
        <v>150</v>
      </c>
      <c r="C17" s="1739" t="s">
        <v>45</v>
      </c>
      <c r="D17" s="1749">
        <v>3000</v>
      </c>
      <c r="E17" s="1429">
        <v>3000</v>
      </c>
      <c r="F17" s="1742"/>
      <c r="G17" s="533"/>
      <c r="H17" s="461">
        <v>85</v>
      </c>
    </row>
    <row r="18" spans="1:8" s="461" customFormat="1" ht="18.75" customHeight="1" x14ac:dyDescent="0.3">
      <c r="A18" s="706">
        <v>16</v>
      </c>
      <c r="B18" s="662" t="s">
        <v>150</v>
      </c>
      <c r="C18" s="1739" t="s">
        <v>593</v>
      </c>
      <c r="D18" s="1750">
        <v>432</v>
      </c>
      <c r="E18" s="533">
        <v>432</v>
      </c>
      <c r="F18" s="1742"/>
      <c r="G18" s="533"/>
    </row>
    <row r="19" spans="1:8" s="461" customFormat="1" ht="18.75" customHeight="1" x14ac:dyDescent="0.3">
      <c r="A19" s="706">
        <v>17</v>
      </c>
      <c r="B19" s="662" t="s">
        <v>150</v>
      </c>
      <c r="C19" s="1739" t="s">
        <v>148</v>
      </c>
      <c r="D19" s="1750">
        <v>6000</v>
      </c>
      <c r="E19" s="533">
        <v>6000</v>
      </c>
      <c r="F19" s="1742"/>
      <c r="G19" s="533"/>
    </row>
    <row r="20" spans="1:8" s="461" customFormat="1" ht="18.75" customHeight="1" thickBot="1" x14ac:dyDescent="0.35">
      <c r="A20" s="1319">
        <v>18</v>
      </c>
      <c r="B20" s="1320" t="s">
        <v>150</v>
      </c>
      <c r="C20" s="1739" t="s">
        <v>806</v>
      </c>
      <c r="D20" s="1751">
        <v>1800</v>
      </c>
      <c r="E20" s="551">
        <v>1800</v>
      </c>
      <c r="F20" s="1743"/>
      <c r="G20" s="1321"/>
    </row>
    <row r="21" spans="1:8" s="1317" customFormat="1" ht="18.75" customHeight="1" thickBot="1" x14ac:dyDescent="0.35">
      <c r="A21" s="704">
        <v>19</v>
      </c>
      <c r="B21" s="660" t="s">
        <v>150</v>
      </c>
      <c r="C21" s="1736" t="s">
        <v>152</v>
      </c>
      <c r="D21" s="1752">
        <f>SUM(D12:D20)</f>
        <v>16432</v>
      </c>
      <c r="E21" s="1316">
        <f>SUM(E12:E20)</f>
        <v>16432</v>
      </c>
      <c r="F21" s="1744">
        <f>SUM(F12:F20)</f>
        <v>0</v>
      </c>
      <c r="G21" s="1316">
        <f>SUM(G12:G20)</f>
        <v>0</v>
      </c>
    </row>
    <row r="22" spans="1:8" s="1317" customFormat="1" ht="18.75" customHeight="1" thickBot="1" x14ac:dyDescent="0.35">
      <c r="A22" s="707">
        <v>20</v>
      </c>
      <c r="B22" s="663" t="s">
        <v>172</v>
      </c>
      <c r="C22" s="1740" t="s">
        <v>23</v>
      </c>
      <c r="D22" s="1753">
        <f>D21+D11+D8</f>
        <v>16432</v>
      </c>
      <c r="E22" s="1754">
        <f>E21+E11+E8</f>
        <v>16432</v>
      </c>
      <c r="F22" s="1745">
        <f>F21+F11+F8</f>
        <v>3500</v>
      </c>
      <c r="G22" s="1318">
        <f>G21+G11+G8</f>
        <v>1000</v>
      </c>
    </row>
    <row r="24" spans="1:8" ht="25.2" hidden="1" x14ac:dyDescent="0.45">
      <c r="C24" s="1322" t="s">
        <v>731</v>
      </c>
    </row>
    <row r="25" spans="1:8" hidden="1" x14ac:dyDescent="0.25"/>
    <row r="26" spans="1:8" hidden="1" x14ac:dyDescent="0.25">
      <c r="E26" s="807"/>
    </row>
    <row r="27" spans="1:8" hidden="1" x14ac:dyDescent="0.25">
      <c r="E27" s="807"/>
    </row>
    <row r="28" spans="1:8" hidden="1" x14ac:dyDescent="0.25">
      <c r="E28" s="807"/>
    </row>
    <row r="29" spans="1:8" hidden="1" x14ac:dyDescent="0.25"/>
    <row r="30" spans="1:8" hidden="1" x14ac:dyDescent="0.25"/>
    <row r="31" spans="1:8" hidden="1" x14ac:dyDescent="0.25"/>
    <row r="32" spans="1: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</sheetData>
  <mergeCells count="3">
    <mergeCell ref="A1:G1"/>
    <mergeCell ref="A2:G2"/>
    <mergeCell ref="A3:G3"/>
  </mergeCells>
  <phoneticPr fontId="57" type="noConversion"/>
  <hyperlinks>
    <hyperlink ref="H1" location="Munka1!A1" display="Munka1!A1" xr:uid="{00000000-0004-0000-1600-000000000000}"/>
  </hyperlinks>
  <printOptions horizontalCentered="1"/>
  <pageMargins left="0.2" right="0.2" top="0.33" bottom="0.19" header="0.51181102362204722" footer="0.51181102362204722"/>
  <pageSetup paperSize="9" scale="78" orientation="landscape" r:id="rId1"/>
  <headerFooter alignWithMargins="0"/>
  <ignoredErrors>
    <ignoredError sqref="D11:G11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24">
    <tabColor rgb="FF92D050"/>
    <pageSetUpPr fitToPage="1"/>
  </sheetPr>
  <dimension ref="A1:N61"/>
  <sheetViews>
    <sheetView view="pageBreakPreview" topLeftCell="B28" zoomScale="70" zoomScaleSheetLayoutView="70" workbookViewId="0">
      <selection activeCell="B14" sqref="B14"/>
    </sheetView>
  </sheetViews>
  <sheetFormatPr defaultColWidth="9.109375" defaultRowHeight="13.8" x14ac:dyDescent="0.25"/>
  <cols>
    <col min="1" max="1" width="5.44140625" style="46" customWidth="1"/>
    <col min="2" max="2" width="14.5546875" style="45" customWidth="1"/>
    <col min="3" max="3" width="121.33203125" style="46" customWidth="1"/>
    <col min="4" max="5" width="16.109375" style="46" customWidth="1"/>
    <col min="6" max="6" width="16.109375" style="47" hidden="1" customWidth="1"/>
    <col min="7" max="19" width="0" style="46" hidden="1" customWidth="1"/>
    <col min="20" max="16384" width="9.109375" style="46"/>
  </cols>
  <sheetData>
    <row r="1" spans="1:14" ht="18" x14ac:dyDescent="0.35">
      <c r="A1" s="1841" t="str">
        <f>Tartalomjegyzék_2021!A1</f>
        <v>Pilisvörösvár Város Önkormányzata Képviselő-testületének 1/2021. (II. 15.) önkormányzati rendelete</v>
      </c>
      <c r="B1" s="1841"/>
      <c r="C1" s="1841"/>
      <c r="D1" s="1887"/>
      <c r="E1" s="1886"/>
      <c r="F1" s="1365" t="s">
        <v>758</v>
      </c>
      <c r="G1" s="155"/>
    </row>
    <row r="2" spans="1:14" ht="18" x14ac:dyDescent="0.35">
      <c r="A2" s="1841" t="str">
        <f>'19._Ellátottak p.jutattás (K4)'!A2:F2</f>
        <v>az Önkormányzat  2021. évi költségvetéséről</v>
      </c>
      <c r="B2" s="1841"/>
      <c r="C2" s="1841"/>
      <c r="D2" s="1887"/>
      <c r="E2" s="1886"/>
      <c r="F2" s="786"/>
      <c r="G2" s="155"/>
    </row>
    <row r="3" spans="1:14" ht="18" x14ac:dyDescent="0.35">
      <c r="A3" s="1841" t="str">
        <f>Tartalomjegyzék_2021!B28</f>
        <v>Pilisvörösvár Város Önkormányzata egyéb működési és felhalmozási célú kiadásai (támogatásértékű kiadások és átadott pénzeszközök)</v>
      </c>
      <c r="B3" s="1841"/>
      <c r="C3" s="1841"/>
      <c r="D3" s="1887"/>
      <c r="E3" s="1886"/>
      <c r="F3" s="786"/>
    </row>
    <row r="4" spans="1:14" ht="17.399999999999999" x14ac:dyDescent="0.3">
      <c r="A4" s="519"/>
      <c r="B4" s="519"/>
      <c r="C4" s="519"/>
      <c r="D4" s="518"/>
      <c r="E4" s="755"/>
      <c r="F4" s="786"/>
    </row>
    <row r="5" spans="1:14" ht="18" x14ac:dyDescent="0.35">
      <c r="A5" s="511"/>
      <c r="B5" s="511"/>
      <c r="C5" s="511"/>
      <c r="E5" s="521" t="s">
        <v>646</v>
      </c>
      <c r="F5" s="521"/>
    </row>
    <row r="6" spans="1:14" ht="21.75" customHeight="1" x14ac:dyDescent="0.25">
      <c r="E6" s="271"/>
    </row>
    <row r="7" spans="1:14" ht="21" customHeight="1" thickBot="1" x14ac:dyDescent="0.4">
      <c r="E7" s="638" t="s">
        <v>201</v>
      </c>
      <c r="F7" s="353"/>
    </row>
    <row r="8" spans="1:14" ht="93" customHeight="1" thickBot="1" x14ac:dyDescent="0.3">
      <c r="A8" s="708" t="s">
        <v>542</v>
      </c>
      <c r="B8" s="1033" t="s">
        <v>537</v>
      </c>
      <c r="C8" s="473" t="s">
        <v>237</v>
      </c>
      <c r="D8" s="1235" t="str">
        <f>'19._Ellátottak p.jutattás (K4)'!D7</f>
        <v>Önkormányzat 2020. évi eredeti előirányzat</v>
      </c>
      <c r="E8" s="1236" t="str">
        <f>'19._Ellátottak p.jutattás (K4)'!E7</f>
        <v>Önkormányzat 2021. évi eredeti előirányzat</v>
      </c>
      <c r="F8" s="788"/>
    </row>
    <row r="9" spans="1:14" ht="26.25" hidden="1" customHeight="1" thickBot="1" x14ac:dyDescent="0.3">
      <c r="A9" s="709">
        <v>1</v>
      </c>
      <c r="B9" s="1034" t="s">
        <v>96</v>
      </c>
      <c r="C9" s="534" t="s">
        <v>567</v>
      </c>
      <c r="D9" s="1643"/>
      <c r="E9" s="551"/>
      <c r="F9" s="789"/>
    </row>
    <row r="10" spans="1:14" ht="26.25" customHeight="1" x14ac:dyDescent="0.25">
      <c r="A10" s="1657">
        <v>1</v>
      </c>
      <c r="B10" s="1030" t="s">
        <v>96</v>
      </c>
      <c r="C10" s="1031" t="s">
        <v>700</v>
      </c>
      <c r="D10" s="1663">
        <v>0</v>
      </c>
      <c r="E10" s="1635">
        <v>0</v>
      </c>
      <c r="F10" s="789"/>
    </row>
    <row r="11" spans="1:14" ht="32.25" customHeight="1" x14ac:dyDescent="0.25">
      <c r="A11" s="1658">
        <v>2</v>
      </c>
      <c r="B11" s="1599" t="s">
        <v>96</v>
      </c>
      <c r="C11" s="95" t="s">
        <v>782</v>
      </c>
      <c r="D11" s="658">
        <f>667+12</f>
        <v>679</v>
      </c>
      <c r="E11" s="1636">
        <v>0</v>
      </c>
      <c r="F11" s="789"/>
    </row>
    <row r="12" spans="1:14" ht="32.25" customHeight="1" thickBot="1" x14ac:dyDescent="0.3">
      <c r="A12" s="1659">
        <v>3</v>
      </c>
      <c r="B12" s="1664" t="s">
        <v>982</v>
      </c>
      <c r="C12" s="546" t="s">
        <v>983</v>
      </c>
      <c r="D12" s="1430">
        <v>0</v>
      </c>
      <c r="E12" s="1640">
        <v>110362</v>
      </c>
      <c r="F12" s="789"/>
    </row>
    <row r="13" spans="1:14" s="51" customFormat="1" ht="24.9" customHeight="1" thickBot="1" x14ac:dyDescent="0.3">
      <c r="A13" s="1646" t="s">
        <v>125</v>
      </c>
      <c r="B13" s="710" t="s">
        <v>96</v>
      </c>
      <c r="C13" s="160" t="s">
        <v>97</v>
      </c>
      <c r="D13" s="1400">
        <f>SUM(D10:D11)</f>
        <v>679</v>
      </c>
      <c r="E13" s="532">
        <f>SUM(E10:E12)</f>
        <v>110362</v>
      </c>
      <c r="F13" s="790"/>
    </row>
    <row r="14" spans="1:14" ht="30" customHeight="1" x14ac:dyDescent="0.25">
      <c r="A14" s="1660" t="s">
        <v>126</v>
      </c>
      <c r="B14" s="1665" t="s">
        <v>173</v>
      </c>
      <c r="C14" s="1645" t="s">
        <v>718</v>
      </c>
      <c r="D14" s="1215">
        <f>1444612/1000</f>
        <v>1444.6120000000001</v>
      </c>
      <c r="E14" s="1639">
        <v>1445</v>
      </c>
      <c r="F14" s="789">
        <v>552</v>
      </c>
      <c r="G14" s="46">
        <f>(1624468092+705559195-673234361-1179943417)/1000-68953</f>
        <v>407896.50900000002</v>
      </c>
      <c r="N14" s="46">
        <f>+(162060040+405504754-562682380)/1000</f>
        <v>4882.4139999999998</v>
      </c>
    </row>
    <row r="15" spans="1:14" s="1123" customFormat="1" ht="30.75" customHeight="1" x14ac:dyDescent="0.25">
      <c r="A15" s="1660" t="s">
        <v>569</v>
      </c>
      <c r="B15" s="711" t="s">
        <v>173</v>
      </c>
      <c r="C15" s="95" t="s">
        <v>539</v>
      </c>
      <c r="D15" s="658">
        <v>39064</v>
      </c>
      <c r="E15" s="1639">
        <v>36850</v>
      </c>
      <c r="F15" s="789">
        <f>+E15-D15</f>
        <v>-2214</v>
      </c>
      <c r="G15" s="1124">
        <f>+E16+E18-D16-D18</f>
        <v>10353</v>
      </c>
    </row>
    <row r="16" spans="1:14" s="1123" customFormat="1" ht="29.25" customHeight="1" x14ac:dyDescent="0.25">
      <c r="A16" s="1660" t="s">
        <v>712</v>
      </c>
      <c r="B16" s="711" t="s">
        <v>173</v>
      </c>
      <c r="C16" s="95" t="s">
        <v>540</v>
      </c>
      <c r="D16" s="658">
        <v>64426</v>
      </c>
      <c r="E16" s="1639">
        <v>70604</v>
      </c>
      <c r="F16" s="789">
        <f>+E16-D16</f>
        <v>6178</v>
      </c>
      <c r="G16" s="1124">
        <f>+F16+F18</f>
        <v>10353</v>
      </c>
      <c r="H16" s="1124"/>
      <c r="I16" s="1124"/>
    </row>
    <row r="17" spans="1:9" s="1123" customFormat="1" ht="34.799999999999997" customHeight="1" x14ac:dyDescent="0.25">
      <c r="A17" s="1660" t="s">
        <v>127</v>
      </c>
      <c r="B17" s="711" t="s">
        <v>173</v>
      </c>
      <c r="C17" s="95" t="s">
        <v>541</v>
      </c>
      <c r="D17" s="658">
        <v>8502</v>
      </c>
      <c r="E17" s="1639">
        <v>10656</v>
      </c>
      <c r="F17" s="789">
        <f>+E17-D17</f>
        <v>2154</v>
      </c>
      <c r="G17" s="1124"/>
      <c r="I17" s="1124"/>
    </row>
    <row r="18" spans="1:9" s="1123" customFormat="1" ht="34.799999999999997" customHeight="1" x14ac:dyDescent="0.25">
      <c r="A18" s="1660" t="s">
        <v>128</v>
      </c>
      <c r="B18" s="711" t="s">
        <v>173</v>
      </c>
      <c r="C18" s="95" t="s">
        <v>543</v>
      </c>
      <c r="D18" s="658">
        <v>53169</v>
      </c>
      <c r="E18" s="1639">
        <v>57344</v>
      </c>
      <c r="F18" s="789">
        <f>+E18-D18</f>
        <v>4175</v>
      </c>
      <c r="G18" s="1124"/>
    </row>
    <row r="19" spans="1:9" ht="30.75" customHeight="1" x14ac:dyDescent="0.25">
      <c r="A19" s="1660" t="s">
        <v>129</v>
      </c>
      <c r="B19" s="711" t="s">
        <v>173</v>
      </c>
      <c r="C19" s="95" t="s">
        <v>98</v>
      </c>
      <c r="D19" s="658">
        <v>2320</v>
      </c>
      <c r="E19" s="1639">
        <v>2320</v>
      </c>
      <c r="F19" s="789"/>
    </row>
    <row r="20" spans="1:9" ht="30.75" customHeight="1" thickBot="1" x14ac:dyDescent="0.3">
      <c r="A20" s="1660" t="s">
        <v>130</v>
      </c>
      <c r="B20" s="1666" t="s">
        <v>173</v>
      </c>
      <c r="C20" s="546" t="s">
        <v>681</v>
      </c>
      <c r="D20" s="1430">
        <v>350</v>
      </c>
      <c r="E20" s="1640">
        <v>500</v>
      </c>
      <c r="F20" s="789"/>
    </row>
    <row r="21" spans="1:9" s="51" customFormat="1" ht="30" customHeight="1" thickBot="1" x14ac:dyDescent="0.3">
      <c r="A21" s="1646" t="s">
        <v>131</v>
      </c>
      <c r="B21" s="710" t="s">
        <v>173</v>
      </c>
      <c r="C21" s="160" t="s">
        <v>174</v>
      </c>
      <c r="D21" s="1400">
        <f>SUM(D14:D20)</f>
        <v>169275.61199999999</v>
      </c>
      <c r="E21" s="532">
        <f>SUM(E14:E20)</f>
        <v>179719</v>
      </c>
      <c r="F21" s="790"/>
    </row>
    <row r="22" spans="1:9" s="51" customFormat="1" ht="30" customHeight="1" thickBot="1" x14ac:dyDescent="0.3">
      <c r="A22" s="1646" t="s">
        <v>132</v>
      </c>
      <c r="B22" s="710" t="s">
        <v>99</v>
      </c>
      <c r="C22" s="160" t="s">
        <v>100</v>
      </c>
      <c r="D22" s="1400">
        <v>0</v>
      </c>
      <c r="E22" s="532">
        <v>0</v>
      </c>
      <c r="F22" s="790"/>
    </row>
    <row r="23" spans="1:9" s="51" customFormat="1" ht="30" customHeight="1" thickBot="1" x14ac:dyDescent="0.3">
      <c r="A23" s="1646" t="s">
        <v>133</v>
      </c>
      <c r="B23" s="710" t="s">
        <v>101</v>
      </c>
      <c r="C23" s="160" t="s">
        <v>102</v>
      </c>
      <c r="D23" s="1400">
        <v>0</v>
      </c>
      <c r="E23" s="532">
        <v>0</v>
      </c>
      <c r="F23" s="790"/>
    </row>
    <row r="24" spans="1:9" s="51" customFormat="1" ht="30" customHeight="1" thickBot="1" x14ac:dyDescent="0.3">
      <c r="A24" s="1646" t="s">
        <v>134</v>
      </c>
      <c r="B24" s="710" t="s">
        <v>103</v>
      </c>
      <c r="C24" s="160" t="s">
        <v>104</v>
      </c>
      <c r="D24" s="1400">
        <v>0</v>
      </c>
      <c r="E24" s="532">
        <v>0</v>
      </c>
      <c r="F24" s="790"/>
    </row>
    <row r="25" spans="1:9" s="51" customFormat="1" ht="30" customHeight="1" thickBot="1" x14ac:dyDescent="0.3">
      <c r="A25" s="1646" t="s">
        <v>135</v>
      </c>
      <c r="B25" s="710" t="s">
        <v>105</v>
      </c>
      <c r="C25" s="160" t="s">
        <v>106</v>
      </c>
      <c r="D25" s="1400">
        <v>0</v>
      </c>
      <c r="E25" s="532">
        <v>0</v>
      </c>
      <c r="F25" s="790"/>
    </row>
    <row r="26" spans="1:9" ht="30.75" customHeight="1" x14ac:dyDescent="0.25">
      <c r="A26" s="1660" t="s">
        <v>918</v>
      </c>
      <c r="B26" s="1665" t="s">
        <v>176</v>
      </c>
      <c r="C26" s="1647" t="s">
        <v>107</v>
      </c>
      <c r="D26" s="1215">
        <f>13550+1200</f>
        <v>14750</v>
      </c>
      <c r="E26" s="1639">
        <v>14750</v>
      </c>
      <c r="F26" s="789"/>
    </row>
    <row r="27" spans="1:9" ht="39.75" customHeight="1" x14ac:dyDescent="0.25">
      <c r="A27" s="1660" t="s">
        <v>136</v>
      </c>
      <c r="B27" s="711" t="s">
        <v>176</v>
      </c>
      <c r="C27" s="95" t="s">
        <v>842</v>
      </c>
      <c r="D27" s="658">
        <f>200+600+12*80+12*80+500</f>
        <v>3220</v>
      </c>
      <c r="E27" s="1636">
        <f>960+500+49320+600+300</f>
        <v>51680</v>
      </c>
      <c r="F27" s="791"/>
    </row>
    <row r="28" spans="1:9" ht="36" customHeight="1" thickBot="1" x14ac:dyDescent="0.3">
      <c r="A28" s="1660" t="s">
        <v>137</v>
      </c>
      <c r="B28" s="1666" t="s">
        <v>176</v>
      </c>
      <c r="C28" s="1648" t="s">
        <v>695</v>
      </c>
      <c r="D28" s="1430">
        <v>0</v>
      </c>
      <c r="E28" s="1641">
        <v>0</v>
      </c>
      <c r="F28" s="791"/>
    </row>
    <row r="29" spans="1:9" s="51" customFormat="1" ht="30.75" customHeight="1" thickBot="1" x14ac:dyDescent="0.3">
      <c r="A29" s="1646" t="s">
        <v>570</v>
      </c>
      <c r="B29" s="710" t="s">
        <v>176</v>
      </c>
      <c r="C29" s="160" t="s">
        <v>175</v>
      </c>
      <c r="D29" s="1400">
        <f>SUM(D26:D28)</f>
        <v>17970</v>
      </c>
      <c r="E29" s="1638">
        <f>SUM(E26:E28)</f>
        <v>66430</v>
      </c>
      <c r="F29" s="790"/>
    </row>
    <row r="30" spans="1:9" ht="30.75" customHeight="1" x14ac:dyDescent="0.25">
      <c r="A30" s="1661">
        <v>21</v>
      </c>
      <c r="B30" s="712" t="s">
        <v>544</v>
      </c>
      <c r="C30" s="158" t="s">
        <v>715</v>
      </c>
      <c r="D30" s="1215">
        <f>'21. Tartalékok (K512)'!C24</f>
        <v>14000</v>
      </c>
      <c r="E30" s="1639">
        <v>15000</v>
      </c>
      <c r="F30" s="791"/>
    </row>
    <row r="31" spans="1:9" ht="30.75" customHeight="1" x14ac:dyDescent="0.25">
      <c r="A31" s="1661">
        <v>22</v>
      </c>
      <c r="B31" s="712" t="s">
        <v>544</v>
      </c>
      <c r="C31" s="98" t="s">
        <v>716</v>
      </c>
      <c r="D31" s="658">
        <f>'21. Tartalékok (K512)'!C23</f>
        <v>0</v>
      </c>
      <c r="E31" s="1641">
        <v>0</v>
      </c>
      <c r="F31" s="791"/>
      <c r="G31" s="52"/>
    </row>
    <row r="32" spans="1:9" ht="30.75" customHeight="1" thickBot="1" x14ac:dyDescent="0.3">
      <c r="A32" s="1661">
        <v>23</v>
      </c>
      <c r="B32" s="1667" t="s">
        <v>544</v>
      </c>
      <c r="C32" s="98" t="s">
        <v>717</v>
      </c>
      <c r="D32" s="1430">
        <f>'21. Tartalékok (K512)'!C22</f>
        <v>167630.11900000001</v>
      </c>
      <c r="E32" s="1641">
        <f>'21. Tartalékok (K512)'!D22</f>
        <v>45501</v>
      </c>
      <c r="F32" s="791"/>
    </row>
    <row r="33" spans="1:6" s="51" customFormat="1" ht="30.75" customHeight="1" thickBot="1" x14ac:dyDescent="0.3">
      <c r="A33" s="1646" t="s">
        <v>138</v>
      </c>
      <c r="B33" s="1651" t="s">
        <v>544</v>
      </c>
      <c r="C33" s="160" t="s">
        <v>108</v>
      </c>
      <c r="D33" s="1400">
        <f>SUM(D30:D32)</f>
        <v>181630.11900000001</v>
      </c>
      <c r="E33" s="1638">
        <f>SUM(E30:E32)</f>
        <v>60501</v>
      </c>
      <c r="F33" s="790"/>
    </row>
    <row r="34" spans="1:6" s="51" customFormat="1" ht="30.75" customHeight="1" thickBot="1" x14ac:dyDescent="0.3">
      <c r="A34" s="1652" t="s">
        <v>61</v>
      </c>
      <c r="B34" s="1032" t="s">
        <v>179</v>
      </c>
      <c r="C34" s="159" t="s">
        <v>489</v>
      </c>
      <c r="D34" s="1401">
        <f>D13+D21+D22+D23+D24+D25+D29+D33</f>
        <v>369554.73100000003</v>
      </c>
      <c r="E34" s="1642">
        <f>E13+E21+E22+E23+E24+E25+E29+E33</f>
        <v>417012</v>
      </c>
      <c r="F34" s="792"/>
    </row>
    <row r="35" spans="1:6" ht="30.75" hidden="1" customHeight="1" thickBot="1" x14ac:dyDescent="0.3">
      <c r="A35" s="1662">
        <v>26</v>
      </c>
      <c r="B35" s="1668" t="s">
        <v>141</v>
      </c>
      <c r="C35" s="1653" t="s">
        <v>637</v>
      </c>
      <c r="D35" s="1654">
        <v>0</v>
      </c>
      <c r="E35" s="1637">
        <v>0</v>
      </c>
      <c r="F35" s="791"/>
    </row>
    <row r="36" spans="1:6" ht="30.75" hidden="1" customHeight="1" thickBot="1" x14ac:dyDescent="0.3">
      <c r="A36" s="1652" t="s">
        <v>62</v>
      </c>
      <c r="B36" s="1032" t="s">
        <v>141</v>
      </c>
      <c r="C36" s="159" t="s">
        <v>475</v>
      </c>
      <c r="D36" s="1644">
        <f>SUM(D35:D35)</f>
        <v>0</v>
      </c>
      <c r="E36" s="1642">
        <f>SUM(E35:E35)</f>
        <v>0</v>
      </c>
      <c r="F36" s="792"/>
    </row>
    <row r="37" spans="1:6" ht="30.75" customHeight="1" thickBot="1" x14ac:dyDescent="0.3">
      <c r="A37" s="1662">
        <v>26</v>
      </c>
      <c r="B37" s="1669" t="s">
        <v>584</v>
      </c>
      <c r="C37" s="1655" t="s">
        <v>585</v>
      </c>
      <c r="D37" s="1430">
        <v>0</v>
      </c>
      <c r="E37" s="1656">
        <v>0</v>
      </c>
      <c r="F37" s="791"/>
    </row>
    <row r="38" spans="1:6" ht="27" customHeight="1" thickBot="1" x14ac:dyDescent="0.3">
      <c r="A38" s="1652" t="s">
        <v>62</v>
      </c>
      <c r="B38" s="1032" t="s">
        <v>584</v>
      </c>
      <c r="C38" s="159" t="s">
        <v>585</v>
      </c>
      <c r="D38" s="1401">
        <f>D37</f>
        <v>0</v>
      </c>
      <c r="E38" s="1642">
        <f>E37</f>
        <v>0</v>
      </c>
      <c r="F38" s="792"/>
    </row>
    <row r="39" spans="1:6" ht="27" customHeight="1" thickBot="1" x14ac:dyDescent="0.3">
      <c r="A39" s="1652" t="s">
        <v>895</v>
      </c>
      <c r="B39" s="1670" t="s">
        <v>186</v>
      </c>
      <c r="C39" s="1649" t="s">
        <v>586</v>
      </c>
      <c r="D39" s="1671">
        <f>D36+D38</f>
        <v>0</v>
      </c>
      <c r="E39" s="1650">
        <f>E36+E38</f>
        <v>0</v>
      </c>
      <c r="F39" s="792"/>
    </row>
    <row r="40" spans="1:6" hidden="1" x14ac:dyDescent="0.25"/>
    <row r="41" spans="1:6" hidden="1" x14ac:dyDescent="0.25"/>
    <row r="42" spans="1:6" hidden="1" x14ac:dyDescent="0.25"/>
    <row r="43" spans="1:6" hidden="1" x14ac:dyDescent="0.25"/>
    <row r="44" spans="1:6" hidden="1" x14ac:dyDescent="0.25"/>
    <row r="45" spans="1:6" hidden="1" x14ac:dyDescent="0.25"/>
    <row r="46" spans="1:6" hidden="1" x14ac:dyDescent="0.25"/>
    <row r="47" spans="1:6" hidden="1" x14ac:dyDescent="0.25"/>
    <row r="48" spans="1:6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</sheetData>
  <mergeCells count="3">
    <mergeCell ref="A1:E1"/>
    <mergeCell ref="A2:E2"/>
    <mergeCell ref="A3:E3"/>
  </mergeCells>
  <phoneticPr fontId="57" type="noConversion"/>
  <hyperlinks>
    <hyperlink ref="F1" location="Munka1!A1" display="Munka1!A1" xr:uid="{00000000-0004-0000-1700-000000000000}"/>
  </hyperlinks>
  <pageMargins left="0.33" right="0.28000000000000003" top="1" bottom="1" header="0.5" footer="0.5"/>
  <pageSetup paperSize="9" scale="6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25">
    <tabColor rgb="FF92D050"/>
    <pageSetUpPr fitToPage="1"/>
  </sheetPr>
  <dimension ref="A1:I32"/>
  <sheetViews>
    <sheetView view="pageBreakPreview" topLeftCell="A13" zoomScale="70" zoomScaleSheetLayoutView="70" workbookViewId="0">
      <selection activeCell="B14" sqref="B14"/>
    </sheetView>
  </sheetViews>
  <sheetFormatPr defaultColWidth="9.109375" defaultRowHeight="15.6" x14ac:dyDescent="0.3"/>
  <cols>
    <col min="1" max="1" width="6.44140625" style="4" customWidth="1"/>
    <col min="2" max="2" width="118.6640625" style="4" customWidth="1"/>
    <col min="3" max="4" width="17.33203125" style="4" customWidth="1"/>
    <col min="5" max="5" width="21.33203125" style="24" hidden="1" customWidth="1"/>
    <col min="6" max="16" width="0" style="4" hidden="1" customWidth="1"/>
    <col min="17" max="16384" width="9.109375" style="4"/>
  </cols>
  <sheetData>
    <row r="1" spans="1:9" ht="27" customHeight="1" x14ac:dyDescent="0.35">
      <c r="A1" s="1842" t="str">
        <f>Tartalomjegyzék_2021!A1</f>
        <v>Pilisvörösvár Város Önkormányzata Képviselő-testületének 1/2021. (II. 15.) önkormányzati rendelete</v>
      </c>
      <c r="B1" s="1842"/>
      <c r="C1" s="1889"/>
      <c r="D1" s="1831"/>
      <c r="E1" s="1365" t="s">
        <v>758</v>
      </c>
    </row>
    <row r="2" spans="1:9" ht="50.25" customHeight="1" x14ac:dyDescent="0.35">
      <c r="A2" s="1842" t="str">
        <f>'20. Pe. átad. és tám. (K5)'!A2:D2</f>
        <v>az Önkormányzat  2021. évi költségvetéséről</v>
      </c>
      <c r="B2" s="1842"/>
      <c r="C2" s="1889"/>
      <c r="D2" s="1831"/>
      <c r="E2" s="793"/>
    </row>
    <row r="3" spans="1:9" s="17" customFormat="1" ht="18" x14ac:dyDescent="0.35">
      <c r="A3" s="1888"/>
      <c r="B3" s="1888"/>
      <c r="C3" s="6"/>
      <c r="D3" s="6"/>
      <c r="E3" s="794"/>
    </row>
    <row r="4" spans="1:9" s="17" customFormat="1" ht="18.75" customHeight="1" x14ac:dyDescent="0.35">
      <c r="A4" s="1842" t="str">
        <f>Tartalomjegyzék_2021!B29</f>
        <v>Pilisvörösvár Város Önkormányzata tartalékai</v>
      </c>
      <c r="B4" s="1842"/>
      <c r="C4" s="1889"/>
      <c r="D4" s="1831"/>
      <c r="E4" s="793"/>
    </row>
    <row r="5" spans="1:9" s="17" customFormat="1" x14ac:dyDescent="0.3">
      <c r="A5" s="513"/>
      <c r="B5" s="513"/>
      <c r="C5" s="507"/>
      <c r="D5" s="755"/>
      <c r="E5" s="786"/>
    </row>
    <row r="6" spans="1:9" s="17" customFormat="1" ht="18" x14ac:dyDescent="0.35">
      <c r="A6" s="520"/>
      <c r="B6" s="520"/>
      <c r="D6" s="578" t="s">
        <v>647</v>
      </c>
      <c r="E6" s="521"/>
    </row>
    <row r="7" spans="1:9" s="17" customFormat="1" ht="16.5" customHeight="1" x14ac:dyDescent="0.3">
      <c r="A7" s="161"/>
      <c r="B7" s="162"/>
      <c r="D7" s="271"/>
      <c r="E7" s="795"/>
    </row>
    <row r="8" spans="1:9" s="17" customFormat="1" ht="18.600000000000001" thickBot="1" x14ac:dyDescent="0.35">
      <c r="A8" s="54"/>
      <c r="B8" s="55"/>
      <c r="D8" s="715" t="s">
        <v>201</v>
      </c>
      <c r="E8" s="796"/>
    </row>
    <row r="9" spans="1:9" s="44" customFormat="1" ht="83.25" customHeight="1" thickBot="1" x14ac:dyDescent="0.35">
      <c r="A9" s="1677" t="s">
        <v>25</v>
      </c>
      <c r="B9" s="1678" t="s">
        <v>237</v>
      </c>
      <c r="C9" s="1672" t="str">
        <f>'20. Pe. átad. és tám. (K5)'!D8</f>
        <v>Önkormányzat 2020. évi eredeti előirányzat</v>
      </c>
      <c r="D9" s="1673" t="str">
        <f>'20. Pe. átad. és tám. (K5)'!E8</f>
        <v>Önkormányzat 2021. évi eredeti előirányzat</v>
      </c>
      <c r="E9" s="1237"/>
    </row>
    <row r="10" spans="1:9" s="1239" customFormat="1" ht="18" x14ac:dyDescent="0.3">
      <c r="A10" s="1681">
        <v>1</v>
      </c>
      <c r="B10" s="1682" t="s">
        <v>545</v>
      </c>
      <c r="C10" s="1683">
        <f>75101+(430361+400010+14729324+1343424)/1000-'18. Dologi kiadások cofog(K3)'!D17-'18. Dologi kiadások cofog(K3)'!D18-'18. Dologi kiadások cofog(K3)'!D19</f>
        <v>87798.119000000006</v>
      </c>
      <c r="D10" s="1445">
        <v>0</v>
      </c>
      <c r="E10" s="797"/>
      <c r="F10" s="44"/>
    </row>
    <row r="11" spans="1:9" s="1239" customFormat="1" ht="18" x14ac:dyDescent="0.3">
      <c r="A11" s="666">
        <v>2</v>
      </c>
      <c r="B11" s="1240" t="s">
        <v>348</v>
      </c>
      <c r="C11" s="1676">
        <f>5617+3951+5750</f>
        <v>15318</v>
      </c>
      <c r="D11" s="815">
        <v>0</v>
      </c>
      <c r="E11" s="797"/>
    </row>
    <row r="12" spans="1:9" s="1239" customFormat="1" ht="18" x14ac:dyDescent="0.3">
      <c r="A12" s="666">
        <v>3</v>
      </c>
      <c r="B12" s="1360" t="s">
        <v>786</v>
      </c>
      <c r="C12" s="1676">
        <f>3500</f>
        <v>3500</v>
      </c>
      <c r="D12" s="815">
        <f>21451+21500</f>
        <v>42951</v>
      </c>
      <c r="E12" s="797"/>
    </row>
    <row r="13" spans="1:9" s="1239" customFormat="1" ht="18" x14ac:dyDescent="0.3">
      <c r="A13" s="666">
        <v>4</v>
      </c>
      <c r="B13" s="1360" t="s">
        <v>928</v>
      </c>
      <c r="C13" s="1676">
        <v>5571</v>
      </c>
      <c r="D13" s="815">
        <v>0</v>
      </c>
      <c r="E13" s="797"/>
    </row>
    <row r="14" spans="1:9" s="1239" customFormat="1" ht="18" x14ac:dyDescent="0.3">
      <c r="A14" s="666">
        <v>5</v>
      </c>
      <c r="B14" s="1238" t="s">
        <v>924</v>
      </c>
      <c r="C14" s="1676">
        <f>900+100+100+1000+900+500+450</f>
        <v>3950</v>
      </c>
      <c r="D14" s="815">
        <v>0</v>
      </c>
      <c r="E14" s="797"/>
      <c r="F14" s="44"/>
      <c r="G14" s="1241"/>
      <c r="I14" s="1241"/>
    </row>
    <row r="15" spans="1:9" s="1239" customFormat="1" ht="18" x14ac:dyDescent="0.3">
      <c r="A15" s="666">
        <v>6</v>
      </c>
      <c r="B15" s="1238" t="s">
        <v>927</v>
      </c>
      <c r="C15" s="1676">
        <f>8800+1500</f>
        <v>10300</v>
      </c>
      <c r="D15" s="815">
        <v>0</v>
      </c>
      <c r="E15" s="797"/>
      <c r="F15" s="44"/>
    </row>
    <row r="16" spans="1:9" s="1239" customFormat="1" ht="24.75" customHeight="1" x14ac:dyDescent="0.3">
      <c r="A16" s="666">
        <v>7</v>
      </c>
      <c r="B16" s="1238" t="s">
        <v>923</v>
      </c>
      <c r="C16" s="1676">
        <f>600+550</f>
        <v>1150</v>
      </c>
      <c r="D16" s="815">
        <v>500</v>
      </c>
      <c r="E16" s="797"/>
      <c r="F16" s="44"/>
    </row>
    <row r="17" spans="1:6" s="1239" customFormat="1" ht="18" x14ac:dyDescent="0.3">
      <c r="A17" s="666">
        <v>8</v>
      </c>
      <c r="B17" s="1238" t="s">
        <v>922</v>
      </c>
      <c r="C17" s="1676">
        <f>1200+1300</f>
        <v>2500</v>
      </c>
      <c r="D17" s="815">
        <f>750+300</f>
        <v>1050</v>
      </c>
      <c r="E17" s="797"/>
      <c r="F17" s="44"/>
    </row>
    <row r="18" spans="1:6" s="1239" customFormat="1" ht="18" x14ac:dyDescent="0.3">
      <c r="A18" s="666">
        <v>9</v>
      </c>
      <c r="B18" s="1242" t="s">
        <v>925</v>
      </c>
      <c r="C18" s="1676">
        <v>0</v>
      </c>
      <c r="D18" s="815">
        <v>0</v>
      </c>
      <c r="E18" s="1389"/>
      <c r="F18" s="44"/>
    </row>
    <row r="19" spans="1:6" s="1239" customFormat="1" ht="18" x14ac:dyDescent="0.3">
      <c r="A19" s="666">
        <v>10</v>
      </c>
      <c r="B19" s="1243" t="s">
        <v>926</v>
      </c>
      <c r="C19" s="1676">
        <v>1200</v>
      </c>
      <c r="D19" s="815">
        <v>1000</v>
      </c>
      <c r="E19" s="797"/>
      <c r="F19" s="44"/>
    </row>
    <row r="20" spans="1:6" s="1239" customFormat="1" ht="18" x14ac:dyDescent="0.3">
      <c r="A20" s="666">
        <v>12</v>
      </c>
      <c r="B20" s="1243" t="s">
        <v>559</v>
      </c>
      <c r="C20" s="1676">
        <v>20000</v>
      </c>
      <c r="D20" s="815">
        <v>0</v>
      </c>
      <c r="E20" s="797"/>
      <c r="F20" s="44"/>
    </row>
    <row r="21" spans="1:6" s="1239" customFormat="1" ht="18.600000000000001" thickBot="1" x14ac:dyDescent="0.35">
      <c r="A21" s="1684">
        <v>13</v>
      </c>
      <c r="B21" s="1685" t="s">
        <v>610</v>
      </c>
      <c r="C21" s="1686">
        <v>16343</v>
      </c>
      <c r="D21" s="1372">
        <v>0</v>
      </c>
      <c r="E21" s="797"/>
      <c r="F21" s="44"/>
    </row>
    <row r="22" spans="1:6" ht="30.75" customHeight="1" thickBot="1" x14ac:dyDescent="0.35">
      <c r="A22" s="1679">
        <v>14</v>
      </c>
      <c r="B22" s="1680" t="s">
        <v>346</v>
      </c>
      <c r="C22" s="1674">
        <f>SUM(C10:C21)</f>
        <v>167630.11900000001</v>
      </c>
      <c r="D22" s="1675">
        <f>SUM(D10:D21)</f>
        <v>45501</v>
      </c>
      <c r="E22" s="798"/>
    </row>
    <row r="23" spans="1:6" ht="30.75" customHeight="1" thickBot="1" x14ac:dyDescent="0.35">
      <c r="A23" s="713">
        <v>15</v>
      </c>
      <c r="B23" s="163" t="s">
        <v>347</v>
      </c>
      <c r="C23" s="1120">
        <v>0</v>
      </c>
      <c r="D23" s="816">
        <v>0</v>
      </c>
      <c r="E23" s="798"/>
    </row>
    <row r="24" spans="1:6" ht="30.75" customHeight="1" thickBot="1" x14ac:dyDescent="0.35">
      <c r="A24" s="713">
        <v>16</v>
      </c>
      <c r="B24" s="163" t="s">
        <v>320</v>
      </c>
      <c r="C24" s="1120">
        <v>14000</v>
      </c>
      <c r="D24" s="816">
        <v>15000</v>
      </c>
      <c r="E24" s="798"/>
    </row>
    <row r="25" spans="1:6" ht="30.75" customHeight="1" thickBot="1" x14ac:dyDescent="0.35">
      <c r="A25" s="714">
        <v>17</v>
      </c>
      <c r="B25" s="164" t="s">
        <v>576</v>
      </c>
      <c r="C25" s="1121">
        <f>C22+C23+C24</f>
        <v>181630.11900000001</v>
      </c>
      <c r="D25" s="817">
        <f>D22+D23+D24</f>
        <v>60501</v>
      </c>
      <c r="E25" s="799"/>
    </row>
    <row r="28" spans="1:6" x14ac:dyDescent="0.3">
      <c r="D28" s="420"/>
      <c r="F28" s="420"/>
    </row>
    <row r="30" spans="1:6" x14ac:dyDescent="0.3">
      <c r="F30" s="420"/>
    </row>
    <row r="32" spans="1:6" ht="15" customHeight="1" x14ac:dyDescent="0.3"/>
  </sheetData>
  <mergeCells count="4">
    <mergeCell ref="A3:B3"/>
    <mergeCell ref="A1:D1"/>
    <mergeCell ref="A2:D2"/>
    <mergeCell ref="A4:D4"/>
  </mergeCells>
  <phoneticPr fontId="57" type="noConversion"/>
  <hyperlinks>
    <hyperlink ref="E1" location="Munka1!A1" display="Munka1!A1" xr:uid="{00000000-0004-0000-1800-000000000000}"/>
  </hyperlink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26">
    <tabColor rgb="FF92D050"/>
    <pageSetUpPr fitToPage="1"/>
  </sheetPr>
  <dimension ref="A1:L49"/>
  <sheetViews>
    <sheetView view="pageBreakPreview" topLeftCell="A22" zoomScale="40" zoomScaleSheetLayoutView="40" workbookViewId="0">
      <selection activeCell="B14" sqref="B14"/>
    </sheetView>
  </sheetViews>
  <sheetFormatPr defaultColWidth="9.109375" defaultRowHeight="32.4" x14ac:dyDescent="0.25"/>
  <cols>
    <col min="1" max="1" width="12" style="548" customWidth="1"/>
    <col min="2" max="2" width="211.21875" style="53" customWidth="1"/>
    <col min="3" max="3" width="33.6640625" style="87" customWidth="1"/>
    <col min="4" max="4" width="34.44140625" style="87" customWidth="1"/>
    <col min="5" max="5" width="31.6640625" style="53" customWidth="1"/>
    <col min="6" max="6" width="32.44140625" style="53" customWidth="1"/>
    <col min="7" max="7" width="9.44140625" style="53" hidden="1" customWidth="1"/>
    <col min="8" max="8" width="33.5546875" style="800" hidden="1" customWidth="1"/>
    <col min="9" max="9" width="0" style="53" hidden="1" customWidth="1"/>
    <col min="10" max="10" width="33" style="53" hidden="1" customWidth="1"/>
    <col min="11" max="11" width="10.88671875" style="53" hidden="1" customWidth="1"/>
    <col min="12" max="12" width="14.109375" style="53" hidden="1" customWidth="1"/>
    <col min="13" max="14" width="0" style="53" hidden="1" customWidth="1"/>
    <col min="15" max="16384" width="9.109375" style="53"/>
  </cols>
  <sheetData>
    <row r="1" spans="1:8" s="310" customFormat="1" ht="43.5" customHeight="1" x14ac:dyDescent="0.85">
      <c r="A1" s="1890" t="str">
        <f>Tartalomjegyzék_2021!A1</f>
        <v>Pilisvörösvár Város Önkormányzata Képviselő-testületének 1/2021. (II. 15.) önkormányzati rendelete</v>
      </c>
      <c r="B1" s="1890"/>
      <c r="C1" s="1890"/>
      <c r="D1" s="1890"/>
      <c r="E1" s="1890"/>
      <c r="F1" s="1890"/>
      <c r="G1" s="1891"/>
      <c r="H1" s="1366" t="s">
        <v>758</v>
      </c>
    </row>
    <row r="2" spans="1:8" s="310" customFormat="1" ht="45.75" customHeight="1" x14ac:dyDescent="0.85">
      <c r="A2" s="1890" t="str">
        <f>'21. Tartalékok (K512)'!A2:C2</f>
        <v>az Önkormányzat  2021. évi költségvetéséről</v>
      </c>
      <c r="B2" s="1890"/>
      <c r="C2" s="1890"/>
      <c r="D2" s="1890"/>
      <c r="E2" s="1890"/>
      <c r="F2" s="1890"/>
      <c r="G2" s="1891"/>
      <c r="H2" s="800"/>
    </row>
    <row r="3" spans="1:8" s="310" customFormat="1" ht="18.75" customHeight="1" x14ac:dyDescent="0.85">
      <c r="A3" s="1890"/>
      <c r="B3" s="1890"/>
      <c r="C3" s="1890"/>
      <c r="D3" s="1890"/>
      <c r="E3" s="1890"/>
      <c r="F3" s="1890"/>
      <c r="G3" s="1891"/>
      <c r="H3" s="800"/>
    </row>
    <row r="4" spans="1:8" s="310" customFormat="1" ht="15.75" customHeight="1" x14ac:dyDescent="0.75">
      <c r="A4" s="1057"/>
      <c r="B4" s="1058"/>
      <c r="C4" s="1058"/>
      <c r="D4" s="1058"/>
      <c r="E4" s="1058"/>
      <c r="F4" s="1058"/>
      <c r="G4" s="1058"/>
      <c r="H4" s="800"/>
    </row>
    <row r="5" spans="1:8" ht="46.8" x14ac:dyDescent="0.85">
      <c r="A5" s="1892" t="str">
        <f>Tartalomjegyzék_2021!B30</f>
        <v>Pilisvörösvár Város Önkormányzata és Pilisvörösvári Polgármesteri Hivatal felhalmozási (beruházási) kiadásai feladatonként</v>
      </c>
      <c r="B5" s="1892"/>
      <c r="C5" s="1892"/>
      <c r="D5" s="1892"/>
      <c r="E5" s="1892"/>
      <c r="F5" s="1892"/>
      <c r="G5" s="1893"/>
    </row>
    <row r="6" spans="1:8" ht="46.2" x14ac:dyDescent="0.8">
      <c r="A6" s="1057"/>
      <c r="B6" s="1058"/>
      <c r="C6" s="1058"/>
      <c r="D6" s="1058"/>
      <c r="E6" s="1059"/>
      <c r="F6" s="1061" t="s">
        <v>648</v>
      </c>
      <c r="G6" s="1060"/>
    </row>
    <row r="7" spans="1:8" ht="46.2" x14ac:dyDescent="0.8">
      <c r="A7" s="1057"/>
      <c r="B7" s="1058"/>
      <c r="C7" s="1058"/>
      <c r="D7" s="1058"/>
      <c r="E7" s="1059"/>
      <c r="F7" s="1061"/>
      <c r="G7" s="1062"/>
    </row>
    <row r="8" spans="1:8" ht="72" customHeight="1" x14ac:dyDescent="0.8">
      <c r="A8" s="1894" t="s">
        <v>331</v>
      </c>
      <c r="B8" s="1895"/>
      <c r="C8" s="1895"/>
      <c r="D8" s="1895"/>
      <c r="E8" s="1896"/>
      <c r="F8" s="1896"/>
      <c r="G8" s="1059"/>
    </row>
    <row r="9" spans="1:8" ht="46.8" thickBot="1" x14ac:dyDescent="0.85">
      <c r="A9" s="1057"/>
      <c r="B9" s="1380"/>
      <c r="C9" s="1380"/>
      <c r="D9" s="1380"/>
      <c r="E9" s="1381"/>
      <c r="F9" s="1382" t="s">
        <v>201</v>
      </c>
      <c r="G9" s="1062"/>
    </row>
    <row r="10" spans="1:8" s="1402" customFormat="1" ht="150" customHeight="1" thickBot="1" x14ac:dyDescent="0.35">
      <c r="A10" s="544" t="s">
        <v>3</v>
      </c>
      <c r="B10" s="811" t="s">
        <v>237</v>
      </c>
      <c r="C10" s="810" t="str">
        <f>'21. Tartalékok (K512)'!C9</f>
        <v>Önkormányzat 2020. évi eredeti előirányzat</v>
      </c>
      <c r="D10" s="810" t="str">
        <f>'21. Tartalékok (K512)'!D9</f>
        <v>Önkormányzat 2021. évi eredeti előirányzat</v>
      </c>
      <c r="E10" s="810" t="str">
        <f>'19._Ellátottak p.jutattás (K4)'!F7</f>
        <v>Polgármesteri Hivatal 2020. évi eredeti előirányzat</v>
      </c>
      <c r="F10" s="810" t="str">
        <f>'19._Ellátottak p.jutattás (K4)'!G7</f>
        <v>Polgármesteri Hivatal 2021. évi eredeti előirányzat</v>
      </c>
      <c r="G10" s="542"/>
      <c r="H10" s="1245"/>
    </row>
    <row r="11" spans="1:8" s="1402" customFormat="1" ht="113.4" x14ac:dyDescent="0.3">
      <c r="A11" s="953">
        <v>1</v>
      </c>
      <c r="B11" s="980" t="s">
        <v>978</v>
      </c>
      <c r="C11" s="1755">
        <f>6500+2500+1000</f>
        <v>10000</v>
      </c>
      <c r="D11" s="1756">
        <v>10000</v>
      </c>
      <c r="E11" s="1755"/>
      <c r="F11" s="1756"/>
      <c r="G11" s="542"/>
      <c r="H11" s="1245"/>
    </row>
    <row r="12" spans="1:8" s="1402" customFormat="1" ht="43.5" customHeight="1" x14ac:dyDescent="0.3">
      <c r="A12" s="953">
        <v>2</v>
      </c>
      <c r="B12" s="954" t="s">
        <v>763</v>
      </c>
      <c r="C12" s="1757">
        <v>2000</v>
      </c>
      <c r="D12" s="1758">
        <v>0</v>
      </c>
      <c r="E12" s="1757"/>
      <c r="F12" s="1758"/>
      <c r="G12" s="542"/>
      <c r="H12" s="1245"/>
    </row>
    <row r="13" spans="1:8" s="1402" customFormat="1" ht="43.5" customHeight="1" x14ac:dyDescent="0.3">
      <c r="A13" s="953">
        <v>3</v>
      </c>
      <c r="B13" s="954" t="s">
        <v>764</v>
      </c>
      <c r="C13" s="1757">
        <f>14688*500*1.27/1000</f>
        <v>9326.8799999999992</v>
      </c>
      <c r="D13" s="1758">
        <v>0</v>
      </c>
      <c r="E13" s="1757"/>
      <c r="F13" s="1758"/>
      <c r="G13" s="542"/>
      <c r="H13" s="1245"/>
    </row>
    <row r="14" spans="1:8" s="316" customFormat="1" ht="45.6" x14ac:dyDescent="0.4">
      <c r="A14" s="955">
        <v>4</v>
      </c>
      <c r="B14" s="956" t="s">
        <v>333</v>
      </c>
      <c r="C14" s="1759">
        <f>SUM(C11:C13)</f>
        <v>21326.879999999997</v>
      </c>
      <c r="D14" s="1760">
        <f>SUM(D11:D13)</f>
        <v>10000</v>
      </c>
      <c r="E14" s="1759">
        <f>SUM(E11:E11)</f>
        <v>0</v>
      </c>
      <c r="F14" s="1760">
        <f>SUM(F11:F11)</f>
        <v>0</v>
      </c>
      <c r="G14" s="543"/>
      <c r="H14" s="801"/>
    </row>
    <row r="15" spans="1:8" s="1246" customFormat="1" ht="142.19999999999999" customHeight="1" x14ac:dyDescent="0.4">
      <c r="A15" s="1244">
        <v>5</v>
      </c>
      <c r="B15" s="954" t="s">
        <v>979</v>
      </c>
      <c r="C15" s="1757">
        <f>(1776600+87741468+673752)/1000</f>
        <v>90191.82</v>
      </c>
      <c r="D15" s="1758"/>
      <c r="E15" s="1757"/>
      <c r="F15" s="1758"/>
      <c r="G15" s="543"/>
      <c r="H15" s="1245"/>
    </row>
    <row r="16" spans="1:8" s="1246" customFormat="1" ht="82.8" customHeight="1" x14ac:dyDescent="0.4">
      <c r="A16" s="1244">
        <v>6</v>
      </c>
      <c r="B16" s="954" t="s">
        <v>704</v>
      </c>
      <c r="C16" s="1757">
        <v>7814</v>
      </c>
      <c r="D16" s="1758"/>
      <c r="E16" s="1757"/>
      <c r="F16" s="1758"/>
      <c r="G16" s="543"/>
      <c r="H16" s="1245"/>
    </row>
    <row r="17" spans="1:10" s="1246" customFormat="1" ht="43.5" customHeight="1" x14ac:dyDescent="0.4">
      <c r="A17" s="1244">
        <v>7</v>
      </c>
      <c r="B17" s="954" t="s">
        <v>840</v>
      </c>
      <c r="C17" s="1757"/>
      <c r="D17" s="1758"/>
      <c r="E17" s="1757"/>
      <c r="F17" s="1758"/>
      <c r="G17" s="543"/>
      <c r="H17" s="1245"/>
    </row>
    <row r="18" spans="1:10" s="1246" customFormat="1" ht="46.2" x14ac:dyDescent="0.4">
      <c r="A18" s="1244">
        <v>8</v>
      </c>
      <c r="B18" s="952" t="s">
        <v>921</v>
      </c>
      <c r="C18" s="1757"/>
      <c r="D18" s="1758">
        <f>750+6000</f>
        <v>6750</v>
      </c>
      <c r="E18" s="1757"/>
      <c r="F18" s="1758"/>
      <c r="G18" s="543"/>
      <c r="H18" s="1245"/>
    </row>
    <row r="19" spans="1:10" s="1246" customFormat="1" ht="43.5" customHeight="1" x14ac:dyDescent="0.4">
      <c r="A19" s="1244">
        <v>9</v>
      </c>
      <c r="B19" s="954" t="s">
        <v>841</v>
      </c>
      <c r="C19" s="1757"/>
      <c r="D19" s="1758"/>
      <c r="E19" s="1757"/>
      <c r="F19" s="1758"/>
      <c r="G19" s="543"/>
      <c r="H19" s="1245"/>
    </row>
    <row r="20" spans="1:10" s="1246" customFormat="1" ht="43.5" customHeight="1" x14ac:dyDescent="0.4">
      <c r="A20" s="1244">
        <v>10</v>
      </c>
      <c r="B20" s="954" t="s">
        <v>702</v>
      </c>
      <c r="C20" s="1757">
        <v>8478</v>
      </c>
      <c r="D20" s="1758"/>
      <c r="E20" s="1757"/>
      <c r="F20" s="1758"/>
      <c r="G20" s="543"/>
      <c r="H20" s="1245"/>
    </row>
    <row r="21" spans="1:10" s="1246" customFormat="1" ht="43.5" customHeight="1" x14ac:dyDescent="0.4">
      <c r="A21" s="1244">
        <v>11</v>
      </c>
      <c r="B21" s="957" t="s">
        <v>633</v>
      </c>
      <c r="C21" s="1757">
        <v>1221</v>
      </c>
      <c r="D21" s="1758"/>
      <c r="E21" s="1757"/>
      <c r="F21" s="1758"/>
      <c r="G21" s="864"/>
      <c r="H21" s="1245"/>
    </row>
    <row r="22" spans="1:10" s="315" customFormat="1" ht="46.2" x14ac:dyDescent="0.8">
      <c r="A22" s="955">
        <v>12</v>
      </c>
      <c r="B22" s="956" t="s">
        <v>335</v>
      </c>
      <c r="C22" s="1759">
        <f>SUM(C15:C21)</f>
        <v>107704.82</v>
      </c>
      <c r="D22" s="1760">
        <f>SUM(D15:D21)</f>
        <v>6750</v>
      </c>
      <c r="E22" s="1759">
        <f>SUM(E15:E21)</f>
        <v>0</v>
      </c>
      <c r="F22" s="1760">
        <f>SUM(F15:F21)</f>
        <v>0</v>
      </c>
      <c r="G22" s="543"/>
      <c r="H22" s="800"/>
      <c r="J22" s="1059"/>
    </row>
    <row r="23" spans="1:10" s="1246" customFormat="1" ht="43.5" customHeight="1" x14ac:dyDescent="0.4">
      <c r="A23" s="1244">
        <v>13</v>
      </c>
      <c r="B23" s="958" t="s">
        <v>334</v>
      </c>
      <c r="C23" s="1757"/>
      <c r="D23" s="1758"/>
      <c r="E23" s="1757">
        <v>5000</v>
      </c>
      <c r="F23" s="1758">
        <v>5000</v>
      </c>
      <c r="G23" s="543"/>
      <c r="H23" s="1245"/>
    </row>
    <row r="24" spans="1:10" s="315" customFormat="1" ht="43.5" customHeight="1" x14ac:dyDescent="0.4">
      <c r="A24" s="955">
        <v>14</v>
      </c>
      <c r="B24" s="956" t="s">
        <v>336</v>
      </c>
      <c r="C24" s="1759">
        <f>SUM(C23)</f>
        <v>0</v>
      </c>
      <c r="D24" s="1760">
        <f>SUM(D23:D23)</f>
        <v>0</v>
      </c>
      <c r="E24" s="1759">
        <f>SUM(E23:E23)</f>
        <v>5000</v>
      </c>
      <c r="F24" s="1760">
        <f>SUM(F23:F23)</f>
        <v>5000</v>
      </c>
      <c r="G24" s="543"/>
      <c r="H24" s="800"/>
    </row>
    <row r="25" spans="1:10" s="1246" customFormat="1" ht="43.5" customHeight="1" x14ac:dyDescent="0.4">
      <c r="A25" s="1244">
        <v>15</v>
      </c>
      <c r="B25" s="1247" t="s">
        <v>530</v>
      </c>
      <c r="C25" s="1757">
        <f>4*160+122+2*28</f>
        <v>818</v>
      </c>
      <c r="D25" s="1758"/>
      <c r="E25" s="1757">
        <f>510+300</f>
        <v>810</v>
      </c>
      <c r="F25" s="1758"/>
      <c r="G25" s="543"/>
      <c r="H25" s="1245"/>
    </row>
    <row r="26" spans="1:10" s="1246" customFormat="1" ht="43.5" customHeight="1" x14ac:dyDescent="0.4">
      <c r="A26" s="1244">
        <v>16</v>
      </c>
      <c r="B26" s="1247" t="s">
        <v>759</v>
      </c>
      <c r="C26" s="1757">
        <f>400+595+200</f>
        <v>1195</v>
      </c>
      <c r="D26" s="1758"/>
      <c r="E26" s="1757">
        <v>200</v>
      </c>
      <c r="F26" s="1758"/>
      <c r="G26" s="543"/>
      <c r="H26" s="1245"/>
    </row>
    <row r="27" spans="1:10" s="1246" customFormat="1" ht="43.5" customHeight="1" x14ac:dyDescent="0.4">
      <c r="A27" s="1244">
        <v>17</v>
      </c>
      <c r="B27" s="957" t="s">
        <v>773</v>
      </c>
      <c r="C27" s="1757">
        <v>1000</v>
      </c>
      <c r="D27" s="1758"/>
      <c r="E27" s="1757"/>
      <c r="F27" s="1758"/>
      <c r="G27" s="543"/>
      <c r="H27" s="1245"/>
    </row>
    <row r="28" spans="1:10" s="1246" customFormat="1" ht="43.5" customHeight="1" x14ac:dyDescent="0.4">
      <c r="A28" s="1244">
        <v>18</v>
      </c>
      <c r="B28" s="957" t="s">
        <v>762</v>
      </c>
      <c r="C28" s="1757">
        <v>825</v>
      </c>
      <c r="D28" s="1758"/>
      <c r="E28" s="1757"/>
      <c r="F28" s="1758"/>
      <c r="G28" s="543"/>
      <c r="H28" s="1245"/>
    </row>
    <row r="29" spans="1:10" s="1246" customFormat="1" ht="43.5" customHeight="1" x14ac:dyDescent="0.4">
      <c r="A29" s="1244">
        <v>19</v>
      </c>
      <c r="B29" s="957" t="s">
        <v>774</v>
      </c>
      <c r="C29" s="1757">
        <v>1500</v>
      </c>
      <c r="D29" s="1758">
        <v>635</v>
      </c>
      <c r="E29" s="1757"/>
      <c r="F29" s="1758"/>
      <c r="G29" s="543"/>
      <c r="H29" s="1245"/>
    </row>
    <row r="30" spans="1:10" s="1246" customFormat="1" ht="82.8" customHeight="1" x14ac:dyDescent="0.4">
      <c r="A30" s="1244">
        <v>20</v>
      </c>
      <c r="B30" s="957" t="s">
        <v>761</v>
      </c>
      <c r="C30" s="1757">
        <f>(11931650+94773750+1777746+15519400+2819400+5709368+5692000+435000)/1000</f>
        <v>138658.31400000001</v>
      </c>
      <c r="D30" s="1758"/>
      <c r="E30" s="1757"/>
      <c r="F30" s="1758"/>
      <c r="G30" s="543"/>
      <c r="H30" s="1245"/>
    </row>
    <row r="31" spans="1:10" s="1246" customFormat="1" ht="81" customHeight="1" x14ac:dyDescent="0.4">
      <c r="A31" s="1244">
        <v>21</v>
      </c>
      <c r="B31" s="957" t="s">
        <v>993</v>
      </c>
      <c r="C31" s="1757"/>
      <c r="D31" s="1758"/>
      <c r="E31" s="1757">
        <v>0</v>
      </c>
      <c r="F31" s="1758">
        <v>305</v>
      </c>
      <c r="G31" s="543"/>
      <c r="H31" s="1245"/>
    </row>
    <row r="32" spans="1:10" s="1246" customFormat="1" ht="43.5" customHeight="1" x14ac:dyDescent="0.4">
      <c r="A32" s="1244">
        <v>22</v>
      </c>
      <c r="B32" s="957" t="s">
        <v>766</v>
      </c>
      <c r="C32" s="1757"/>
      <c r="D32" s="1758"/>
      <c r="E32" s="1757">
        <v>3000</v>
      </c>
      <c r="F32" s="1758"/>
      <c r="G32" s="543"/>
      <c r="H32" s="1245"/>
    </row>
    <row r="33" spans="1:12" s="315" customFormat="1" ht="43.5" customHeight="1" x14ac:dyDescent="0.4">
      <c r="A33" s="955">
        <v>23</v>
      </c>
      <c r="B33" s="956" t="s">
        <v>337</v>
      </c>
      <c r="C33" s="1759">
        <f>SUM(C25:C32)</f>
        <v>143996.31400000001</v>
      </c>
      <c r="D33" s="1760">
        <f>SUM(D25:D32)</f>
        <v>635</v>
      </c>
      <c r="E33" s="1759">
        <f>SUM(E25:E32)</f>
        <v>4010</v>
      </c>
      <c r="F33" s="1760">
        <f>SUM(F25:F32)</f>
        <v>305</v>
      </c>
      <c r="G33" s="543"/>
      <c r="H33" s="800"/>
    </row>
    <row r="34" spans="1:12" s="1246" customFormat="1" ht="43.5" customHeight="1" x14ac:dyDescent="0.4">
      <c r="A34" s="1371">
        <v>24</v>
      </c>
      <c r="B34" s="1247" t="s">
        <v>980</v>
      </c>
      <c r="C34" s="1757">
        <v>10000</v>
      </c>
      <c r="D34" s="1758"/>
      <c r="E34" s="1757">
        <v>0</v>
      </c>
      <c r="F34" s="1758">
        <v>0</v>
      </c>
      <c r="G34" s="543"/>
      <c r="H34" s="1245"/>
    </row>
    <row r="35" spans="1:12" ht="43.5" customHeight="1" x14ac:dyDescent="0.4">
      <c r="A35" s="955">
        <v>25</v>
      </c>
      <c r="B35" s="956" t="s">
        <v>338</v>
      </c>
      <c r="C35" s="1759">
        <f>SUM(C34)</f>
        <v>10000</v>
      </c>
      <c r="D35" s="1760">
        <f>SUM(D34)</f>
        <v>0</v>
      </c>
      <c r="E35" s="1759">
        <f t="shared" ref="E35:F35" si="0">SUM(E34)</f>
        <v>0</v>
      </c>
      <c r="F35" s="1760">
        <f t="shared" si="0"/>
        <v>0</v>
      </c>
      <c r="G35" s="543"/>
      <c r="I35" s="315"/>
      <c r="J35" s="315"/>
      <c r="K35" s="315"/>
      <c r="L35" s="315"/>
    </row>
    <row r="36" spans="1:12" ht="43.5" customHeight="1" thickBot="1" x14ac:dyDescent="0.3">
      <c r="A36" s="955">
        <v>26</v>
      </c>
      <c r="B36" s="959" t="s">
        <v>339</v>
      </c>
      <c r="C36" s="1761">
        <v>0</v>
      </c>
      <c r="D36" s="1762">
        <v>0</v>
      </c>
      <c r="E36" s="1761">
        <v>0</v>
      </c>
      <c r="F36" s="1762">
        <v>0</v>
      </c>
      <c r="G36" s="543"/>
    </row>
    <row r="37" spans="1:12" ht="43.5" customHeight="1" thickBot="1" x14ac:dyDescent="0.45">
      <c r="A37" s="960">
        <v>27</v>
      </c>
      <c r="B37" s="961" t="s">
        <v>340</v>
      </c>
      <c r="C37" s="1763">
        <f>C36+C35+C33+C24+C14+C22</f>
        <v>283028.01400000002</v>
      </c>
      <c r="D37" s="1764">
        <f>D36+D35+D33+D24+D14+D22</f>
        <v>17385</v>
      </c>
      <c r="E37" s="1763">
        <f>E36+E35+E33+E24+E14+E22</f>
        <v>9010</v>
      </c>
      <c r="F37" s="1764">
        <f>F36+F35+F33+F24+F14+F22</f>
        <v>5305</v>
      </c>
      <c r="G37" s="543"/>
      <c r="H37" s="802"/>
      <c r="L37" s="456"/>
    </row>
    <row r="38" spans="1:12" ht="47.25" hidden="1" customHeight="1" thickBot="1" x14ac:dyDescent="0.3">
      <c r="E38" s="852" t="s">
        <v>803</v>
      </c>
      <c r="F38" s="1122">
        <f>+D37+F37+'23. Felújítás (K7)'!D17+'23. Felújítás (K7)'!F17</f>
        <v>22690</v>
      </c>
    </row>
    <row r="39" spans="1:12" ht="35.4" hidden="1" x14ac:dyDescent="0.6">
      <c r="C39" s="1141">
        <v>2018</v>
      </c>
      <c r="D39" s="1141">
        <v>2019</v>
      </c>
      <c r="E39" s="53" t="s">
        <v>804</v>
      </c>
      <c r="F39" s="1138">
        <f>+D11+D12+D13+D16+D25+D26+D27+D29+D34+D30-126822+'23. Felújítás (K7)'!D12+'23. Felújítás (K7)'!D13+F23+F25+F26+F32</f>
        <v>-111187</v>
      </c>
    </row>
    <row r="40" spans="1:12" ht="35.4" hidden="1" x14ac:dyDescent="0.6">
      <c r="C40" s="1138">
        <f>+C37+E37+'23. Felújítás (K7)'!C17</f>
        <v>305733.01400000002</v>
      </c>
      <c r="D40" s="1138">
        <f>+D37+F37+'23. Felújítás (K7)'!D17</f>
        <v>22690</v>
      </c>
    </row>
    <row r="41" spans="1:12" ht="35.4" hidden="1" x14ac:dyDescent="0.6">
      <c r="D41" s="1138">
        <f>+D37-D15-D20-D21-D28-D30+F37+'23. Felújítás (K7)'!D17-'23. Felújítás (K7)'!D11</f>
        <v>22690</v>
      </c>
    </row>
    <row r="42" spans="1:12" hidden="1" x14ac:dyDescent="0.4">
      <c r="C42" s="465"/>
      <c r="D42" s="465"/>
    </row>
    <row r="43" spans="1:12" hidden="1" x14ac:dyDescent="0.4">
      <c r="C43" s="464"/>
      <c r="D43" s="464"/>
    </row>
    <row r="44" spans="1:12" hidden="1" x14ac:dyDescent="0.25"/>
    <row r="45" spans="1:12" hidden="1" x14ac:dyDescent="0.25"/>
    <row r="46" spans="1:12" hidden="1" x14ac:dyDescent="0.25"/>
    <row r="47" spans="1:12" hidden="1" x14ac:dyDescent="0.25"/>
    <row r="48" spans="1:12" hidden="1" x14ac:dyDescent="0.25"/>
    <row r="49" hidden="1" x14ac:dyDescent="0.25"/>
  </sheetData>
  <autoFilter ref="A5:H37" xr:uid="{00000000-0009-0000-0000-000019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5">
    <mergeCell ref="A1:G1"/>
    <mergeCell ref="A2:G2"/>
    <mergeCell ref="A3:G3"/>
    <mergeCell ref="A5:G5"/>
    <mergeCell ref="A8:F8"/>
  </mergeCells>
  <phoneticPr fontId="57" type="noConversion"/>
  <hyperlinks>
    <hyperlink ref="H1" location="Munka1!A1" display="Munka1!A1" xr:uid="{00000000-0004-0000-1900-000000000000}"/>
  </hyperlinks>
  <printOptions horizontalCentered="1"/>
  <pageMargins left="0.25" right="0.25" top="0.75" bottom="0.75" header="0.3" footer="0.3"/>
  <pageSetup paperSize="9" scale="3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21">
    <tabColor rgb="FF92D050"/>
    <pageSetUpPr fitToPage="1"/>
  </sheetPr>
  <dimension ref="A1:G18"/>
  <sheetViews>
    <sheetView view="pageBreakPreview" topLeftCell="A7" zoomScale="69" zoomScaleNormal="80" zoomScaleSheetLayoutView="69" workbookViewId="0">
      <selection activeCell="B14" sqref="B14"/>
    </sheetView>
  </sheetViews>
  <sheetFormatPr defaultColWidth="9.109375" defaultRowHeight="21" x14ac:dyDescent="0.35"/>
  <cols>
    <col min="1" max="1" width="9.5546875" style="1305" customWidth="1"/>
    <col min="2" max="2" width="108.88671875" style="354" customWidth="1"/>
    <col min="3" max="4" width="24.5546875" style="354" customWidth="1"/>
    <col min="5" max="6" width="22.88671875" style="354" customWidth="1"/>
    <col min="7" max="7" width="18.33203125" style="354" hidden="1" customWidth="1"/>
    <col min="8" max="13" width="0" style="354" hidden="1" customWidth="1"/>
    <col min="14" max="16384" width="9.109375" style="354"/>
  </cols>
  <sheetData>
    <row r="1" spans="1:7" s="349" customFormat="1" ht="22.5" customHeight="1" x14ac:dyDescent="0.4">
      <c r="A1" s="1897" t="str">
        <f>'22. Beruházás (K6)'!A1:E1</f>
        <v>Pilisvörösvár Város Önkormányzata Képviselő-testületének 1/2021. (II. 15.) önkormányzati rendelete</v>
      </c>
      <c r="B1" s="1897"/>
      <c r="C1" s="1897"/>
      <c r="D1" s="1897"/>
      <c r="E1" s="1897"/>
      <c r="F1" s="1873"/>
      <c r="G1" s="1363" t="s">
        <v>758</v>
      </c>
    </row>
    <row r="2" spans="1:7" s="349" customFormat="1" ht="24.6" x14ac:dyDescent="0.4">
      <c r="A2" s="1897" t="str">
        <f>'22. Beruházás (K6)'!A2:E2</f>
        <v>az Önkormányzat  2021. évi költségvetéséről</v>
      </c>
      <c r="B2" s="1897"/>
      <c r="C2" s="1897"/>
      <c r="D2" s="1897"/>
      <c r="E2" s="1897"/>
      <c r="F2" s="1873"/>
    </row>
    <row r="3" spans="1:7" s="350" customFormat="1" ht="22.5" customHeight="1" x14ac:dyDescent="0.4">
      <c r="A3" s="1897"/>
      <c r="B3" s="1897"/>
      <c r="C3" s="1897"/>
      <c r="D3" s="1897"/>
      <c r="E3" s="1897"/>
      <c r="F3" s="756"/>
    </row>
    <row r="4" spans="1:7" s="350" customFormat="1" ht="22.5" customHeight="1" x14ac:dyDescent="0.4">
      <c r="A4" s="1897" t="str">
        <f>Tartalomjegyzék_2021!B31</f>
        <v>Pilisvörösvár Város Önkormányzata és Pilisvörösvári Polgármesteri Hivatal felhalmozási (felújítási) kiadásai feladatonként</v>
      </c>
      <c r="B4" s="1897"/>
      <c r="C4" s="1897"/>
      <c r="D4" s="1897"/>
      <c r="E4" s="1897"/>
      <c r="F4" s="1873"/>
    </row>
    <row r="5" spans="1:7" s="350" customFormat="1" ht="22.5" customHeight="1" x14ac:dyDescent="0.45">
      <c r="A5" s="728"/>
      <c r="B5" s="511"/>
      <c r="C5" s="511"/>
      <c r="D5" s="752"/>
      <c r="F5" s="736" t="s">
        <v>836</v>
      </c>
    </row>
    <row r="6" spans="1:7" s="350" customFormat="1" ht="25.2" x14ac:dyDescent="0.45">
      <c r="A6" s="728"/>
      <c r="B6" s="463"/>
      <c r="C6" s="506"/>
      <c r="D6" s="752"/>
      <c r="F6" s="805"/>
    </row>
    <row r="7" spans="1:7" s="350" customFormat="1" ht="25.2" x14ac:dyDescent="0.45">
      <c r="A7" s="1301"/>
      <c r="B7" s="351"/>
      <c r="C7" s="352"/>
      <c r="D7" s="352"/>
      <c r="F7" s="737" t="s">
        <v>201</v>
      </c>
    </row>
    <row r="8" spans="1:7" s="350" customFormat="1" ht="26.4" thickBot="1" x14ac:dyDescent="0.55000000000000004">
      <c r="A8" s="1898" t="s">
        <v>341</v>
      </c>
      <c r="B8" s="1898"/>
      <c r="C8" s="1898"/>
      <c r="D8" s="1898"/>
      <c r="E8" s="1899"/>
      <c r="F8" s="1900"/>
    </row>
    <row r="9" spans="1:7" s="1136" customFormat="1" ht="117.75" customHeight="1" thickBot="1" x14ac:dyDescent="0.35">
      <c r="A9" s="544" t="s">
        <v>3</v>
      </c>
      <c r="B9" s="814" t="s">
        <v>332</v>
      </c>
      <c r="C9" s="812" t="str">
        <f>'22. Beruházás (K6)'!C10</f>
        <v>Önkormányzat 2020. évi eredeti előirányzat</v>
      </c>
      <c r="D9" s="812" t="str">
        <f>'22. Beruházás (K6)'!D10</f>
        <v>Önkormányzat 2021. évi eredeti előirányzat</v>
      </c>
      <c r="E9" s="812" t="str">
        <f>'22. Beruházás (K6)'!E10</f>
        <v>Polgármesteri Hivatal 2020. évi eredeti előirányzat</v>
      </c>
      <c r="F9" s="813" t="str">
        <f>'22. Beruházás (K6)'!F10</f>
        <v>Polgármesteri Hivatal 2021. évi eredeti előirányzat</v>
      </c>
    </row>
    <row r="10" spans="1:7" s="1248" customFormat="1" ht="30.6" x14ac:dyDescent="0.3">
      <c r="A10" s="1303">
        <v>1</v>
      </c>
      <c r="B10" s="1250" t="s">
        <v>839</v>
      </c>
      <c r="C10" s="1768">
        <v>0</v>
      </c>
      <c r="D10" s="1769">
        <v>0</v>
      </c>
      <c r="E10" s="1768"/>
      <c r="F10" s="1816"/>
    </row>
    <row r="11" spans="1:7" s="1248" customFormat="1" ht="30.6" x14ac:dyDescent="0.3">
      <c r="A11" s="1303">
        <v>2</v>
      </c>
      <c r="B11" s="1765" t="s">
        <v>633</v>
      </c>
      <c r="C11" s="1770">
        <f>295</f>
        <v>295</v>
      </c>
      <c r="D11" s="1251">
        <v>0</v>
      </c>
      <c r="E11" s="1770"/>
      <c r="F11" s="1251"/>
    </row>
    <row r="12" spans="1:7" s="1248" customFormat="1" ht="51" customHeight="1" x14ac:dyDescent="0.3">
      <c r="A12" s="1304">
        <v>3</v>
      </c>
      <c r="B12" s="1765" t="s">
        <v>765</v>
      </c>
      <c r="C12" s="1770">
        <f>2500+500+500</f>
        <v>3500</v>
      </c>
      <c r="D12" s="1251">
        <v>0</v>
      </c>
      <c r="E12" s="1770"/>
      <c r="F12" s="1251"/>
      <c r="G12" s="1249"/>
    </row>
    <row r="13" spans="1:7" s="1248" customFormat="1" ht="30.6" x14ac:dyDescent="0.3">
      <c r="A13" s="1303">
        <v>4</v>
      </c>
      <c r="B13" s="1765" t="s">
        <v>760</v>
      </c>
      <c r="C13" s="1770">
        <v>9900</v>
      </c>
      <c r="D13" s="1251">
        <v>0</v>
      </c>
      <c r="E13" s="1770"/>
      <c r="F13" s="1251"/>
    </row>
    <row r="14" spans="1:7" s="1136" customFormat="1" ht="30" customHeight="1" x14ac:dyDescent="0.3">
      <c r="A14" s="1142">
        <v>5</v>
      </c>
      <c r="B14" s="1766" t="s">
        <v>342</v>
      </c>
      <c r="C14" s="1771">
        <f>SUM(C10:C13)</f>
        <v>13695</v>
      </c>
      <c r="D14" s="1137">
        <f>SUM(D10:D13)</f>
        <v>0</v>
      </c>
      <c r="E14" s="1771">
        <f>SUM(E10:E13)</f>
        <v>0</v>
      </c>
      <c r="F14" s="1137">
        <f>SUM(F10:F13)</f>
        <v>0</v>
      </c>
    </row>
    <row r="15" spans="1:7" s="1136" customFormat="1" ht="30" customHeight="1" x14ac:dyDescent="0.3">
      <c r="A15" s="1142">
        <v>6</v>
      </c>
      <c r="B15" s="1766" t="s">
        <v>343</v>
      </c>
      <c r="C15" s="1771">
        <v>0</v>
      </c>
      <c r="D15" s="1137">
        <v>0</v>
      </c>
      <c r="E15" s="1771">
        <v>0</v>
      </c>
      <c r="F15" s="1137">
        <v>0</v>
      </c>
    </row>
    <row r="16" spans="1:7" s="1136" customFormat="1" ht="30" customHeight="1" thickBot="1" x14ac:dyDescent="0.35">
      <c r="A16" s="1142">
        <v>7</v>
      </c>
      <c r="B16" s="1766" t="s">
        <v>344</v>
      </c>
      <c r="C16" s="1771">
        <v>0</v>
      </c>
      <c r="D16" s="1137">
        <v>0</v>
      </c>
      <c r="E16" s="1771">
        <v>0</v>
      </c>
      <c r="F16" s="1137">
        <v>0</v>
      </c>
    </row>
    <row r="17" spans="1:6" s="1136" customFormat="1" ht="30.6" thickBot="1" x14ac:dyDescent="0.35">
      <c r="A17" s="1143">
        <v>8</v>
      </c>
      <c r="B17" s="1767" t="s">
        <v>345</v>
      </c>
      <c r="C17" s="1772">
        <f>C16+C15+C14</f>
        <v>13695</v>
      </c>
      <c r="D17" s="1773">
        <f t="shared" ref="D17:F17" si="0">D16+D15+D14</f>
        <v>0</v>
      </c>
      <c r="E17" s="1772">
        <f t="shared" si="0"/>
        <v>0</v>
      </c>
      <c r="F17" s="1773">
        <f t="shared" si="0"/>
        <v>0</v>
      </c>
    </row>
    <row r="18" spans="1:6" x14ac:dyDescent="0.35">
      <c r="A18" s="1302"/>
      <c r="B18" s="350"/>
      <c r="E18" s="350"/>
      <c r="F18" s="350"/>
    </row>
  </sheetData>
  <mergeCells count="5">
    <mergeCell ref="A3:E3"/>
    <mergeCell ref="A1:F1"/>
    <mergeCell ref="A2:F2"/>
    <mergeCell ref="A4:F4"/>
    <mergeCell ref="A8:F8"/>
  </mergeCells>
  <hyperlinks>
    <hyperlink ref="G1" location="Munka1!A1" display="Munka1!A1" xr:uid="{00000000-0004-0000-1A00-000000000000}"/>
  </hyperlinks>
  <pageMargins left="0.7" right="0.7" top="0.75" bottom="0.75" header="0.3" footer="0.3"/>
  <pageSetup paperSize="9" scale="4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27">
    <tabColor rgb="FF00B050"/>
    <pageSetUpPr fitToPage="1"/>
  </sheetPr>
  <dimension ref="A1:N37"/>
  <sheetViews>
    <sheetView view="pageBreakPreview" topLeftCell="A13" zoomScaleSheetLayoutView="100" workbookViewId="0">
      <selection activeCell="B14" sqref="B14"/>
    </sheetView>
  </sheetViews>
  <sheetFormatPr defaultColWidth="9.109375" defaultRowHeight="14.4" x14ac:dyDescent="0.3"/>
  <cols>
    <col min="1" max="1" width="55" style="1" customWidth="1"/>
    <col min="2" max="2" width="39" style="1" bestFit="1" customWidth="1"/>
    <col min="3" max="3" width="15.6640625" style="1" customWidth="1"/>
    <col min="4" max="4" width="14" style="1" customWidth="1"/>
    <col min="5" max="11" width="15.109375" style="1" customWidth="1"/>
    <col min="12" max="13" width="10.109375" style="1" hidden="1" customWidth="1"/>
    <col min="14" max="17" width="0" style="1" hidden="1" customWidth="1"/>
    <col min="18" max="16384" width="9.109375" style="1"/>
  </cols>
  <sheetData>
    <row r="1" spans="1:14" ht="21" customHeight="1" x14ac:dyDescent="0.3">
      <c r="A1" s="1901"/>
      <c r="B1" s="1901"/>
      <c r="C1" s="1901"/>
      <c r="D1" s="1901"/>
      <c r="E1" s="1901"/>
      <c r="F1" s="1901"/>
      <c r="G1" s="1901"/>
      <c r="H1" s="1901"/>
      <c r="I1" s="1901"/>
      <c r="J1" s="1901"/>
      <c r="K1" s="1901"/>
      <c r="L1" s="423">
        <v>0</v>
      </c>
      <c r="M1" s="426" t="s">
        <v>528</v>
      </c>
      <c r="N1" s="1">
        <v>-0.379</v>
      </c>
    </row>
    <row r="2" spans="1:14" ht="21" customHeight="1" x14ac:dyDescent="0.3">
      <c r="A2" s="1901"/>
      <c r="B2" s="1901"/>
      <c r="C2" s="1901"/>
      <c r="D2" s="1901"/>
      <c r="E2" s="1901"/>
      <c r="F2" s="1901"/>
      <c r="G2" s="1901"/>
      <c r="H2" s="1901"/>
      <c r="I2" s="1901"/>
      <c r="J2" s="1901"/>
      <c r="K2" s="1901"/>
      <c r="L2" s="422">
        <v>1.4999999999999999E-2</v>
      </c>
      <c r="M2" s="424" t="s">
        <v>527</v>
      </c>
    </row>
    <row r="3" spans="1:14" ht="23.25" customHeight="1" x14ac:dyDescent="0.3">
      <c r="A3" s="1901"/>
      <c r="B3" s="1901"/>
      <c r="C3" s="1901"/>
      <c r="D3" s="1901"/>
      <c r="E3" s="1901"/>
      <c r="F3" s="1901"/>
      <c r="G3" s="1901"/>
      <c r="H3" s="1901"/>
      <c r="I3" s="1901"/>
      <c r="J3" s="1901"/>
      <c r="K3" s="1901"/>
      <c r="L3" s="425">
        <v>43831</v>
      </c>
    </row>
    <row r="4" spans="1:14" ht="17.399999999999999" x14ac:dyDescent="0.3">
      <c r="A4" s="1841" t="str">
        <f>Tartalomjegyzék_2021!A1</f>
        <v>Pilisvörösvár Város Önkormányzata Képviselő-testületének 1/2021. (II. 15.) önkormányzati rendelete</v>
      </c>
      <c r="B4" s="1841"/>
      <c r="C4" s="1841"/>
      <c r="D4" s="1841"/>
      <c r="E4" s="1841"/>
      <c r="F4" s="1841"/>
      <c r="G4" s="1841"/>
      <c r="H4" s="1841"/>
      <c r="I4" s="1841"/>
      <c r="J4" s="1841"/>
      <c r="K4" s="1841"/>
      <c r="M4" s="459">
        <f>L1+L2+1.25%</f>
        <v>2.75E-2</v>
      </c>
    </row>
    <row r="5" spans="1:14" ht="17.399999999999999" x14ac:dyDescent="0.3">
      <c r="A5" s="1841" t="str">
        <f>Tartalomjegyzék_2021!A2</f>
        <v>az Önkormányzat  2021. évi költségvetéséről</v>
      </c>
      <c r="B5" s="1841"/>
      <c r="C5" s="1841"/>
      <c r="D5" s="1841"/>
      <c r="E5" s="1841"/>
      <c r="F5" s="1841"/>
      <c r="G5" s="1841"/>
      <c r="H5" s="1841"/>
      <c r="I5" s="1841"/>
      <c r="J5" s="1841"/>
      <c r="K5" s="1841"/>
    </row>
    <row r="6" spans="1:14" ht="17.399999999999999" x14ac:dyDescent="0.3">
      <c r="A6" s="452"/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1362" t="s">
        <v>758</v>
      </c>
    </row>
    <row r="7" spans="1:14" ht="18" customHeight="1" x14ac:dyDescent="0.3">
      <c r="A7" s="1903" t="str">
        <f>Tartalomjegyzék_2021!B32</f>
        <v>Pilisvörösvár Város Önkormányzata több éves fejlesztési célú elkötelezettségei</v>
      </c>
      <c r="B7" s="1903"/>
      <c r="C7" s="1903"/>
      <c r="D7" s="1903"/>
      <c r="E7" s="1903"/>
      <c r="F7" s="1903"/>
      <c r="G7" s="1903"/>
      <c r="H7" s="1903"/>
      <c r="I7" s="1903"/>
      <c r="J7" s="1903"/>
      <c r="K7" s="1903"/>
      <c r="L7" s="177"/>
      <c r="M7" s="177"/>
      <c r="N7" s="177"/>
    </row>
    <row r="8" spans="1:14" ht="18" customHeight="1" x14ac:dyDescent="0.35">
      <c r="A8" s="535"/>
      <c r="B8" s="535"/>
      <c r="C8" s="535"/>
      <c r="D8" s="535"/>
      <c r="E8" s="535"/>
      <c r="F8" s="535"/>
      <c r="G8" s="535"/>
      <c r="H8" s="535"/>
      <c r="I8" s="535"/>
      <c r="J8" s="535"/>
      <c r="K8" s="516" t="s">
        <v>649</v>
      </c>
      <c r="L8" s="177"/>
      <c r="M8" s="177"/>
      <c r="N8" s="177"/>
    </row>
    <row r="9" spans="1:14" ht="10.5" customHeight="1" x14ac:dyDescent="0.35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516"/>
      <c r="L9" s="177"/>
      <c r="M9" s="177"/>
      <c r="N9" s="177"/>
    </row>
    <row r="10" spans="1:14" ht="18" x14ac:dyDescent="0.35">
      <c r="A10" s="2"/>
      <c r="B10" s="2"/>
      <c r="C10" s="2"/>
      <c r="K10" s="516" t="s">
        <v>201</v>
      </c>
    </row>
    <row r="11" spans="1:14" s="9" customFormat="1" ht="46.8" x14ac:dyDescent="0.3">
      <c r="A11" s="8" t="s">
        <v>323</v>
      </c>
      <c r="B11" s="8" t="s">
        <v>349</v>
      </c>
      <c r="C11" s="8" t="s">
        <v>490</v>
      </c>
      <c r="D11" s="8" t="s">
        <v>324</v>
      </c>
      <c r="E11" s="8" t="s">
        <v>325</v>
      </c>
      <c r="F11" s="8" t="s">
        <v>877</v>
      </c>
      <c r="G11" s="536" t="s">
        <v>629</v>
      </c>
      <c r="H11" s="536" t="s">
        <v>705</v>
      </c>
      <c r="I11" s="536" t="s">
        <v>706</v>
      </c>
      <c r="J11" s="536" t="s">
        <v>878</v>
      </c>
      <c r="K11" s="536" t="s">
        <v>319</v>
      </c>
    </row>
    <row r="12" spans="1:14" s="5" customFormat="1" ht="22.5" customHeight="1" x14ac:dyDescent="0.3">
      <c r="A12" s="84" t="s">
        <v>326</v>
      </c>
      <c r="B12" s="84"/>
      <c r="C12" s="84"/>
      <c r="D12" s="84"/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f>SUM(E12:J12)</f>
        <v>0</v>
      </c>
    </row>
    <row r="13" spans="1:14" s="5" customFormat="1" ht="22.5" customHeight="1" x14ac:dyDescent="0.3">
      <c r="A13" s="10" t="s">
        <v>561</v>
      </c>
      <c r="B13" s="10" t="s">
        <v>351</v>
      </c>
      <c r="C13" s="11">
        <v>13550</v>
      </c>
      <c r="D13" s="176">
        <v>2013</v>
      </c>
      <c r="E13" s="11">
        <f>2839+151+1320+1320+1320+1320+1320</f>
        <v>9590</v>
      </c>
      <c r="F13" s="11">
        <f>13550-2839-151-1320-1320-1320-1320-1320</f>
        <v>3960</v>
      </c>
      <c r="G13" s="11">
        <v>1320</v>
      </c>
      <c r="H13" s="11">
        <f>329988*4/1000</f>
        <v>1319.952</v>
      </c>
      <c r="I13" s="11">
        <f>329988*4/1000</f>
        <v>1319.952</v>
      </c>
      <c r="J13" s="11">
        <v>0</v>
      </c>
      <c r="K13" s="11">
        <f>E13+SUM(G13:J13)</f>
        <v>13549.904</v>
      </c>
      <c r="M13" s="5">
        <f>+(162060040+405504754-562682380)/1000</f>
        <v>4882.4139999999998</v>
      </c>
    </row>
    <row r="14" spans="1:14" s="5" customFormat="1" ht="22.5" customHeight="1" x14ac:dyDescent="0.3">
      <c r="A14" s="175" t="s">
        <v>529</v>
      </c>
      <c r="B14" s="10"/>
      <c r="C14" s="10"/>
      <c r="D14" s="10"/>
      <c r="E14" s="11">
        <f>453+120</f>
        <v>573</v>
      </c>
      <c r="F14" s="11">
        <f>SUM(G14:J14)</f>
        <v>217.80395999999999</v>
      </c>
      <c r="G14" s="11">
        <f>($F$13)*M4</f>
        <v>108.9</v>
      </c>
      <c r="H14" s="11">
        <f>($F$13-G13)*M4</f>
        <v>72.599999999999994</v>
      </c>
      <c r="I14" s="11">
        <f>($F$13-SUM(G13:H13))*M4</f>
        <v>36.301319999999997</v>
      </c>
      <c r="J14" s="56">
        <f>($F$13-SUM(G13:I13))*M4</f>
        <v>2.6399999999875945E-3</v>
      </c>
      <c r="K14" s="11">
        <f>E14+SUM(G14:J14)</f>
        <v>790.80395999999996</v>
      </c>
    </row>
    <row r="15" spans="1:14" s="5" customFormat="1" ht="22.5" customHeight="1" x14ac:dyDescent="0.3">
      <c r="A15" s="10" t="s">
        <v>350</v>
      </c>
      <c r="B15" s="10"/>
      <c r="C15" s="11"/>
      <c r="D15" s="10"/>
      <c r="E15" s="11"/>
      <c r="F15" s="11"/>
      <c r="G15" s="11">
        <v>0</v>
      </c>
      <c r="H15" s="11">
        <v>0</v>
      </c>
      <c r="I15" s="11">
        <v>0</v>
      </c>
      <c r="J15" s="56">
        <v>0</v>
      </c>
      <c r="K15" s="11">
        <f>E15+SUM(G15:J15)</f>
        <v>0</v>
      </c>
      <c r="L15" s="5" t="s">
        <v>592</v>
      </c>
    </row>
    <row r="16" spans="1:14" s="5" customFormat="1" ht="22.5" customHeight="1" x14ac:dyDescent="0.3">
      <c r="A16" s="84" t="s">
        <v>327</v>
      </c>
      <c r="B16" s="84"/>
      <c r="C16" s="84"/>
      <c r="D16" s="84"/>
      <c r="E16" s="85">
        <f t="shared" ref="E16:K16" si="0">E13+E15</f>
        <v>9590</v>
      </c>
      <c r="F16" s="85">
        <f t="shared" si="0"/>
        <v>3960</v>
      </c>
      <c r="G16" s="85">
        <f t="shared" si="0"/>
        <v>1320</v>
      </c>
      <c r="H16" s="85">
        <f t="shared" si="0"/>
        <v>1319.952</v>
      </c>
      <c r="I16" s="85">
        <f t="shared" si="0"/>
        <v>1319.952</v>
      </c>
      <c r="J16" s="85">
        <f t="shared" si="0"/>
        <v>0</v>
      </c>
      <c r="K16" s="85">
        <f t="shared" si="0"/>
        <v>13549.904</v>
      </c>
    </row>
    <row r="17" spans="1:12" s="5" customFormat="1" ht="22.5" customHeight="1" x14ac:dyDescent="0.3">
      <c r="A17" s="170" t="s">
        <v>396</v>
      </c>
      <c r="B17" s="170"/>
      <c r="C17" s="170"/>
      <c r="D17" s="170"/>
      <c r="E17" s="171">
        <f t="shared" ref="E17:J17" si="1">E14</f>
        <v>573</v>
      </c>
      <c r="F17" s="171">
        <f>F14</f>
        <v>217.80395999999999</v>
      </c>
      <c r="G17" s="171">
        <f t="shared" si="1"/>
        <v>108.9</v>
      </c>
      <c r="H17" s="171">
        <f t="shared" si="1"/>
        <v>72.599999999999994</v>
      </c>
      <c r="I17" s="171">
        <f t="shared" si="1"/>
        <v>36.301319999999997</v>
      </c>
      <c r="J17" s="171">
        <f t="shared" si="1"/>
        <v>2.6399999999875945E-3</v>
      </c>
      <c r="K17" s="171">
        <f>SUM(K14)</f>
        <v>790.80395999999996</v>
      </c>
    </row>
    <row r="18" spans="1:12" s="5" customFormat="1" ht="22.5" customHeight="1" x14ac:dyDescent="0.3">
      <c r="A18" s="170" t="s">
        <v>328</v>
      </c>
      <c r="B18" s="170"/>
      <c r="C18" s="170"/>
      <c r="D18" s="170"/>
      <c r="E18" s="171">
        <f>E16+E17</f>
        <v>10163</v>
      </c>
      <c r="F18" s="171">
        <f t="shared" ref="F18:K18" si="2">F16+F17</f>
        <v>4177.8039600000002</v>
      </c>
      <c r="G18" s="171">
        <f t="shared" si="2"/>
        <v>1428.9</v>
      </c>
      <c r="H18" s="171">
        <f t="shared" si="2"/>
        <v>1392.5519999999999</v>
      </c>
      <c r="I18" s="171">
        <f t="shared" si="2"/>
        <v>1356.25332</v>
      </c>
      <c r="J18" s="171">
        <f t="shared" si="2"/>
        <v>2.6399999999875945E-3</v>
      </c>
      <c r="K18" s="171">
        <f t="shared" si="2"/>
        <v>14340.70796</v>
      </c>
    </row>
    <row r="19" spans="1:12" s="5" customFormat="1" ht="22.5" customHeight="1" x14ac:dyDescent="0.35">
      <c r="A19" s="172" t="s">
        <v>329</v>
      </c>
      <c r="B19" s="172"/>
      <c r="C19" s="172"/>
      <c r="D19" s="173"/>
      <c r="E19" s="174">
        <f>E18+E12</f>
        <v>10163</v>
      </c>
      <c r="F19" s="174">
        <f t="shared" ref="F19:K19" si="3">F18+F12</f>
        <v>4177.8039600000002</v>
      </c>
      <c r="G19" s="174">
        <f t="shared" si="3"/>
        <v>1428.9</v>
      </c>
      <c r="H19" s="174">
        <f t="shared" si="3"/>
        <v>1392.5519999999999</v>
      </c>
      <c r="I19" s="174">
        <f t="shared" si="3"/>
        <v>1356.25332</v>
      </c>
      <c r="J19" s="174">
        <f t="shared" si="3"/>
        <v>2.6399999999875945E-3</v>
      </c>
      <c r="K19" s="174">
        <f t="shared" si="3"/>
        <v>14340.70796</v>
      </c>
    </row>
    <row r="20" spans="1:12" s="5" customFormat="1" ht="22.5" customHeight="1" x14ac:dyDescent="0.3">
      <c r="A20" s="1902" t="s">
        <v>496</v>
      </c>
      <c r="B20" s="1902"/>
      <c r="C20" s="1902"/>
      <c r="D20" s="1902"/>
      <c r="E20" s="1902"/>
      <c r="F20" s="1902"/>
      <c r="G20" s="1902"/>
      <c r="H20" s="1902"/>
      <c r="I20" s="1902"/>
      <c r="J20" s="1902"/>
      <c r="K20" s="1902"/>
      <c r="L20" s="166"/>
    </row>
    <row r="21" spans="1:12" s="5" customFormat="1" ht="22.5" customHeight="1" x14ac:dyDescent="0.3">
      <c r="A21" s="474" t="s">
        <v>495</v>
      </c>
      <c r="B21" s="168"/>
      <c r="C21" s="165"/>
      <c r="D21" s="169"/>
      <c r="E21" s="165"/>
      <c r="F21" s="165"/>
      <c r="G21" s="950">
        <f>G32</f>
        <v>316017</v>
      </c>
      <c r="H21" s="950">
        <f>+H32</f>
        <v>343430.5</v>
      </c>
      <c r="I21" s="950">
        <f>H21*(1+$I$25)</f>
        <v>355107.13699999999</v>
      </c>
      <c r="J21" s="950"/>
      <c r="K21" s="167"/>
      <c r="L21" s="167"/>
    </row>
    <row r="22" spans="1:12" ht="22.5" hidden="1" customHeight="1" x14ac:dyDescent="0.3"/>
    <row r="23" spans="1:12" ht="22.5" hidden="1" customHeight="1" x14ac:dyDescent="0.3">
      <c r="A23" s="83"/>
    </row>
    <row r="24" spans="1:12" hidden="1" x14ac:dyDescent="0.3">
      <c r="D24" s="80"/>
      <c r="E24" s="80"/>
      <c r="F24" s="80"/>
      <c r="G24" s="80"/>
      <c r="H24" s="81" t="s">
        <v>785</v>
      </c>
      <c r="I24" s="81"/>
      <c r="J24" s="81"/>
    </row>
    <row r="25" spans="1:12" hidden="1" x14ac:dyDescent="0.3">
      <c r="A25" s="318" t="s">
        <v>4</v>
      </c>
      <c r="B25" s="319"/>
      <c r="C25" s="319"/>
      <c r="D25" s="319"/>
      <c r="E25" s="319"/>
      <c r="F25" s="320"/>
      <c r="G25" s="321">
        <f>'15. Működési bev. (B3,B4)'!E9+'15. Működési bev. (B3,B4)'!E10+'15. Működési bev. (B3,B4)'!E12</f>
        <v>571135</v>
      </c>
      <c r="H25" s="1399">
        <f>+G25+113226</f>
        <v>684361</v>
      </c>
      <c r="I25" s="444">
        <v>3.4000000000000002E-2</v>
      </c>
      <c r="J25" s="445" t="s">
        <v>533</v>
      </c>
    </row>
    <row r="26" spans="1:12" hidden="1" x14ac:dyDescent="0.3">
      <c r="A26" s="318" t="s">
        <v>5</v>
      </c>
      <c r="B26" s="319"/>
      <c r="C26" s="319"/>
      <c r="D26" s="319"/>
      <c r="E26" s="319"/>
      <c r="F26" s="320"/>
      <c r="G26" s="321">
        <f>'2.Bevételek_részletes'!D25</f>
        <v>58399</v>
      </c>
      <c r="H26" s="1399">
        <v>0</v>
      </c>
      <c r="I26" s="82"/>
      <c r="J26" s="82"/>
    </row>
    <row r="27" spans="1:12" hidden="1" x14ac:dyDescent="0.3">
      <c r="A27" s="318" t="s">
        <v>6</v>
      </c>
      <c r="B27" s="319"/>
      <c r="C27" s="319"/>
      <c r="D27" s="319"/>
      <c r="E27" s="319"/>
      <c r="F27" s="320"/>
      <c r="G27" s="321"/>
      <c r="H27" s="1399"/>
    </row>
    <row r="28" spans="1:12" hidden="1" x14ac:dyDescent="0.3">
      <c r="A28" s="318" t="s">
        <v>7</v>
      </c>
      <c r="B28" s="319"/>
      <c r="C28" s="319"/>
      <c r="D28" s="319"/>
      <c r="E28" s="319"/>
      <c r="F28" s="320"/>
      <c r="G28" s="321">
        <f>'2.Bevételek_részletes'!D26</f>
        <v>0</v>
      </c>
      <c r="H28" s="1399">
        <v>0</v>
      </c>
    </row>
    <row r="29" spans="1:12" hidden="1" x14ac:dyDescent="0.3">
      <c r="A29" s="318" t="s">
        <v>8</v>
      </c>
      <c r="B29" s="319"/>
      <c r="C29" s="319"/>
      <c r="D29" s="319"/>
      <c r="E29" s="319"/>
      <c r="F29" s="320"/>
      <c r="G29" s="321">
        <f>'15. Működési bev. (B3,B4)'!E14+'15. Működési bev. (B3,B4)'!E15+'15. Működési bev. (B3,B4)'!E16+'15. Működési bev. (B3,B4)'!G14+'15. Működési bev. (B3,B4)'!G15+'15. Működési bev. (B3,B4)'!G16</f>
        <v>2500</v>
      </c>
      <c r="H29" s="1399">
        <v>2500</v>
      </c>
    </row>
    <row r="30" spans="1:12" hidden="1" x14ac:dyDescent="0.3">
      <c r="A30" s="318" t="s">
        <v>9</v>
      </c>
      <c r="B30" s="319"/>
      <c r="C30" s="319"/>
      <c r="D30" s="319"/>
      <c r="E30" s="319"/>
      <c r="F30" s="320"/>
      <c r="G30" s="321"/>
      <c r="H30" s="1399"/>
    </row>
    <row r="31" spans="1:12" hidden="1" x14ac:dyDescent="0.3">
      <c r="A31" s="322" t="s">
        <v>319</v>
      </c>
      <c r="B31" s="319"/>
      <c r="C31" s="319"/>
      <c r="D31" s="319"/>
      <c r="E31" s="319"/>
      <c r="F31" s="320"/>
      <c r="G31" s="321">
        <f>SUM(G25:G30)</f>
        <v>632034</v>
      </c>
      <c r="H31" s="321">
        <f>SUM(H25:H30)</f>
        <v>686861</v>
      </c>
      <c r="I31" s="667">
        <f>'15. Működési bev. (B3,B4)'!D11</f>
        <v>60000</v>
      </c>
      <c r="J31" s="667">
        <f>G31+I31</f>
        <v>692034</v>
      </c>
    </row>
    <row r="32" spans="1:12" hidden="1" x14ac:dyDescent="0.3">
      <c r="A32" s="323"/>
      <c r="B32" s="323"/>
      <c r="C32" s="323"/>
      <c r="D32" s="323"/>
      <c r="E32" s="323"/>
      <c r="F32" s="324"/>
      <c r="G32" s="325">
        <f>G31/2</f>
        <v>316017</v>
      </c>
      <c r="H32" s="325">
        <f>H31/2</f>
        <v>343430.5</v>
      </c>
    </row>
    <row r="33" hidden="1" x14ac:dyDescent="0.3"/>
    <row r="34" hidden="1" x14ac:dyDescent="0.3"/>
    <row r="35" hidden="1" x14ac:dyDescent="0.3"/>
    <row r="36" hidden="1" x14ac:dyDescent="0.3"/>
    <row r="37" hidden="1" x14ac:dyDescent="0.3"/>
  </sheetData>
  <mergeCells count="7">
    <mergeCell ref="A1:K1"/>
    <mergeCell ref="A3:K3"/>
    <mergeCell ref="A2:K2"/>
    <mergeCell ref="A20:K20"/>
    <mergeCell ref="A4:K4"/>
    <mergeCell ref="A5:K5"/>
    <mergeCell ref="A7:K7"/>
  </mergeCells>
  <phoneticPr fontId="57" type="noConversion"/>
  <hyperlinks>
    <hyperlink ref="L6" location="Munka1!A1" display="Munka1!A1" xr:uid="{00000000-0004-0000-1B00-000000000000}"/>
  </hyperlinks>
  <pageMargins left="0.26" right="0.28000000000000003" top="0.74803149606299213" bottom="0.74803149606299213" header="0.31496062992125984" footer="0.31496062992125984"/>
  <pageSetup paperSize="9" scale="69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unka28">
    <tabColor rgb="FF00B050"/>
    <pageSetUpPr fitToPage="1"/>
  </sheetPr>
  <dimension ref="A1:N177"/>
  <sheetViews>
    <sheetView view="pageBreakPreview" topLeftCell="A16" zoomScale="55" zoomScaleNormal="80" zoomScaleSheetLayoutView="55" zoomScalePageLayoutView="85" workbookViewId="0">
      <selection activeCell="B14" sqref="B14"/>
    </sheetView>
  </sheetViews>
  <sheetFormatPr defaultColWidth="7.109375" defaultRowHeight="13.2" x14ac:dyDescent="0.25"/>
  <cols>
    <col min="1" max="1" width="87.33203125" style="58" customWidth="1"/>
    <col min="2" max="2" width="26.33203125" style="58" customWidth="1"/>
    <col min="3" max="3" width="25.33203125" style="572" bestFit="1" customWidth="1"/>
    <col min="4" max="4" width="18.109375" style="58" customWidth="1"/>
    <col min="5" max="5" width="17.33203125" style="58" customWidth="1"/>
    <col min="6" max="6" width="22.5546875" style="58" customWidth="1"/>
    <col min="7" max="7" width="20.88671875" style="58" customWidth="1"/>
    <col min="8" max="8" width="15" style="58" hidden="1" customWidth="1"/>
    <col min="9" max="9" width="10" style="58" hidden="1" customWidth="1"/>
    <col min="10" max="10" width="8.6640625" style="58" hidden="1" customWidth="1"/>
    <col min="11" max="25" width="0" style="58" hidden="1" customWidth="1"/>
    <col min="26" max="16384" width="7.109375" style="58"/>
  </cols>
  <sheetData>
    <row r="1" spans="1:14" ht="22.8" x14ac:dyDescent="0.4">
      <c r="A1" s="1908" t="str">
        <f>Tartalomjegyzék_2021!A1</f>
        <v>Pilisvörösvár Város Önkormányzata Képviselő-testületének 1/2021. (II. 15.) önkormányzati rendelete</v>
      </c>
      <c r="B1" s="1908"/>
      <c r="C1" s="1908"/>
      <c r="D1" s="1908"/>
      <c r="E1" s="1908"/>
      <c r="F1" s="1908"/>
      <c r="G1" s="1908"/>
      <c r="H1" s="1367"/>
      <c r="I1" s="179"/>
      <c r="J1" s="57"/>
      <c r="K1" s="57"/>
    </row>
    <row r="2" spans="1:14" ht="22.8" x14ac:dyDescent="0.4">
      <c r="A2" s="1908" t="str">
        <f>Tartalomjegyzék_2021!A2</f>
        <v>az Önkormányzat  2021. évi költségvetéséről</v>
      </c>
      <c r="B2" s="1908"/>
      <c r="C2" s="1908"/>
      <c r="D2" s="1908"/>
      <c r="E2" s="1908"/>
      <c r="F2" s="1908"/>
      <c r="G2" s="1908"/>
      <c r="H2" s="458"/>
      <c r="I2" s="180"/>
    </row>
    <row r="3" spans="1:14" ht="17.25" customHeight="1" x14ac:dyDescent="0.4">
      <c r="A3" s="726"/>
      <c r="B3" s="915"/>
      <c r="C3" s="727"/>
      <c r="D3" s="726"/>
      <c r="E3" s="726"/>
      <c r="F3" s="726"/>
      <c r="G3" s="726"/>
      <c r="H3" s="453"/>
      <c r="I3" s="180"/>
    </row>
    <row r="4" spans="1:14" ht="22.8" x14ac:dyDescent="0.4">
      <c r="A4" s="1910" t="str">
        <f>Tartalomjegyzék_2021!B33</f>
        <v>Pilisvörösvár Város Önkormányzata átlagos állományi statisztikai létszám</v>
      </c>
      <c r="B4" s="1910"/>
      <c r="C4" s="1910"/>
      <c r="D4" s="1910"/>
      <c r="E4" s="1910"/>
      <c r="F4" s="1910"/>
      <c r="G4" s="1910"/>
      <c r="H4" s="457"/>
      <c r="I4" s="180"/>
    </row>
    <row r="5" spans="1:14" ht="22.8" x14ac:dyDescent="0.4">
      <c r="A5" s="806"/>
      <c r="B5" s="916"/>
      <c r="C5" s="806"/>
      <c r="D5" s="806"/>
      <c r="E5" s="806"/>
      <c r="F5" s="806"/>
      <c r="H5" s="457"/>
      <c r="I5" s="180"/>
    </row>
    <row r="6" spans="1:14" ht="28.5" customHeight="1" x14ac:dyDescent="0.35">
      <c r="A6" s="514"/>
      <c r="B6" s="514"/>
      <c r="C6" s="573"/>
      <c r="D6" s="514"/>
      <c r="E6" s="514"/>
      <c r="F6" s="514"/>
      <c r="G6" s="808" t="s">
        <v>589</v>
      </c>
      <c r="I6" s="180"/>
    </row>
    <row r="7" spans="1:14" s="60" customFormat="1" ht="18.75" customHeight="1" x14ac:dyDescent="0.25">
      <c r="A7" s="182"/>
      <c r="B7" s="182"/>
      <c r="C7" s="568"/>
      <c r="D7" s="183"/>
      <c r="E7" s="183"/>
      <c r="F7" s="184"/>
      <c r="G7" s="475"/>
      <c r="H7" s="185"/>
      <c r="I7" s="186"/>
      <c r="K7" s="61"/>
    </row>
    <row r="8" spans="1:14" s="1257" customFormat="1" ht="22.8" x14ac:dyDescent="0.3">
      <c r="A8" s="1911" t="s">
        <v>1003</v>
      </c>
      <c r="B8" s="1904" t="s">
        <v>832</v>
      </c>
      <c r="C8" s="1906" t="s">
        <v>823</v>
      </c>
      <c r="D8" s="1907"/>
      <c r="E8" s="1907"/>
      <c r="F8" s="1907"/>
      <c r="G8" s="1907"/>
      <c r="H8" s="1256"/>
      <c r="K8" s="1258"/>
    </row>
    <row r="9" spans="1:14" s="1257" customFormat="1" ht="78.75" customHeight="1" x14ac:dyDescent="0.4">
      <c r="A9" s="1912"/>
      <c r="B9" s="1905"/>
      <c r="C9" s="1388" t="s">
        <v>397</v>
      </c>
      <c r="D9" s="1388" t="s">
        <v>984</v>
      </c>
      <c r="E9" s="1388" t="s">
        <v>398</v>
      </c>
      <c r="F9" s="1268" t="s">
        <v>1002</v>
      </c>
      <c r="G9" s="1388" t="s">
        <v>606</v>
      </c>
      <c r="H9" s="692"/>
      <c r="K9" s="1258"/>
    </row>
    <row r="10" spans="1:14" s="1257" customFormat="1" ht="22.8" x14ac:dyDescent="0.3">
      <c r="A10" s="1252" t="s">
        <v>520</v>
      </c>
      <c r="B10" s="1253">
        <v>7</v>
      </c>
      <c r="C10" s="1254">
        <v>5</v>
      </c>
      <c r="D10" s="1255">
        <v>2</v>
      </c>
      <c r="E10" s="1254">
        <f>SUM(C10:D10)</f>
        <v>7</v>
      </c>
      <c r="F10" s="1254"/>
      <c r="G10" s="1254"/>
      <c r="H10" s="581"/>
      <c r="K10" s="1258"/>
    </row>
    <row r="11" spans="1:14" s="1261" customFormat="1" ht="22.8" x14ac:dyDescent="0.4">
      <c r="A11" s="1403" t="s">
        <v>399</v>
      </c>
      <c r="B11" s="1259">
        <v>81.5</v>
      </c>
      <c r="C11" s="1254">
        <v>46</v>
      </c>
      <c r="D11" s="1255">
        <v>35.5</v>
      </c>
      <c r="E11" s="1254">
        <f>SUM(C11:D11)</f>
        <v>81.5</v>
      </c>
      <c r="F11" s="1254">
        <v>4</v>
      </c>
      <c r="G11" s="1254"/>
      <c r="H11" s="692"/>
      <c r="K11" s="1262"/>
    </row>
    <row r="12" spans="1:14" s="1261" customFormat="1" ht="22.8" x14ac:dyDescent="0.4">
      <c r="A12" s="1604" t="s">
        <v>987</v>
      </c>
      <c r="B12" s="1259"/>
      <c r="C12" s="1254"/>
      <c r="D12" s="1255"/>
      <c r="E12" s="1254"/>
      <c r="F12" s="1254"/>
      <c r="G12" s="1254"/>
      <c r="H12" s="692"/>
      <c r="K12" s="1262"/>
    </row>
    <row r="13" spans="1:14" s="1261" customFormat="1" ht="22.8" x14ac:dyDescent="0.3">
      <c r="A13" s="1403" t="s">
        <v>1001</v>
      </c>
      <c r="B13" s="1259">
        <v>0</v>
      </c>
      <c r="C13" s="1254"/>
      <c r="D13" s="1255"/>
      <c r="E13" s="1254">
        <f>SUM(C13:D13)</f>
        <v>0</v>
      </c>
      <c r="F13" s="1254"/>
      <c r="G13" s="1254"/>
      <c r="H13" s="581"/>
      <c r="K13" s="1262"/>
    </row>
    <row r="14" spans="1:14" s="1261" customFormat="1" ht="22.8" x14ac:dyDescent="0.3">
      <c r="A14" s="1403" t="s">
        <v>400</v>
      </c>
      <c r="B14" s="1259">
        <v>13.5</v>
      </c>
      <c r="C14" s="1254">
        <v>0</v>
      </c>
      <c r="D14" s="1255">
        <v>13.5</v>
      </c>
      <c r="E14" s="1254">
        <f>SUM(C14:D14)</f>
        <v>13.5</v>
      </c>
      <c r="F14" s="1254"/>
      <c r="G14" s="1254"/>
      <c r="H14" s="581"/>
      <c r="K14" s="1262"/>
      <c r="N14" s="1261">
        <f>+(162060040+405504754-562682380)/1000</f>
        <v>4882.4139999999998</v>
      </c>
    </row>
    <row r="15" spans="1:14" s="1261" customFormat="1" ht="22.8" x14ac:dyDescent="0.4">
      <c r="A15" s="1403" t="s">
        <v>401</v>
      </c>
      <c r="B15" s="1263">
        <f t="shared" ref="B15:G15" si="0">SUM(B10:B14)</f>
        <v>102</v>
      </c>
      <c r="C15" s="1263">
        <f t="shared" si="0"/>
        <v>51</v>
      </c>
      <c r="D15" s="1263">
        <f t="shared" si="0"/>
        <v>51</v>
      </c>
      <c r="E15" s="1263">
        <f t="shared" si="0"/>
        <v>102</v>
      </c>
      <c r="F15" s="1263">
        <f t="shared" si="0"/>
        <v>4</v>
      </c>
      <c r="G15" s="1263">
        <f t="shared" si="0"/>
        <v>0</v>
      </c>
      <c r="H15" s="692"/>
      <c r="I15" s="1264"/>
      <c r="J15" s="1264"/>
      <c r="K15" s="1262"/>
    </row>
    <row r="16" spans="1:14" s="1261" customFormat="1" ht="22.8" x14ac:dyDescent="0.3">
      <c r="A16" s="1404"/>
      <c r="B16" s="1374"/>
      <c r="C16" s="1374"/>
      <c r="D16" s="1374"/>
      <c r="E16" s="1374"/>
      <c r="F16" s="1374"/>
      <c r="G16" s="1374"/>
      <c r="H16" s="1374"/>
      <c r="I16" s="1260"/>
      <c r="J16" s="1264"/>
      <c r="K16" s="1262"/>
    </row>
    <row r="17" spans="1:11" s="1257" customFormat="1" ht="16.5" customHeight="1" x14ac:dyDescent="0.4">
      <c r="A17" s="1265"/>
      <c r="B17" s="1266"/>
      <c r="C17" s="581"/>
      <c r="D17" s="1266"/>
      <c r="E17" s="692"/>
      <c r="F17" s="692"/>
      <c r="G17" s="692"/>
      <c r="H17" s="692"/>
      <c r="I17" s="1256"/>
      <c r="J17" s="1267"/>
      <c r="K17" s="1258"/>
    </row>
    <row r="18" spans="1:11" s="1257" customFormat="1" ht="16.5" customHeight="1" x14ac:dyDescent="0.4">
      <c r="A18" s="1265"/>
      <c r="B18" s="1266"/>
      <c r="C18" s="581"/>
      <c r="D18" s="1266"/>
      <c r="E18" s="692"/>
      <c r="F18" s="692"/>
      <c r="G18" s="692"/>
      <c r="H18" s="1265"/>
      <c r="I18" s="1256"/>
      <c r="J18" s="1267"/>
      <c r="K18" s="1258"/>
    </row>
    <row r="19" spans="1:11" s="1257" customFormat="1" ht="22.8" x14ac:dyDescent="0.4">
      <c r="A19" s="1911" t="s">
        <v>402</v>
      </c>
      <c r="B19" s="1904" t="s">
        <v>832</v>
      </c>
      <c r="C19" s="1906" t="s">
        <v>823</v>
      </c>
      <c r="D19" s="1907"/>
      <c r="E19" s="1907"/>
      <c r="F19" s="1907"/>
      <c r="G19" s="1907"/>
      <c r="H19" s="692"/>
      <c r="I19" s="1256"/>
      <c r="J19" s="1267"/>
      <c r="K19" s="1258"/>
    </row>
    <row r="20" spans="1:11" s="1257" customFormat="1" ht="83.4" x14ac:dyDescent="0.4">
      <c r="A20" s="1912"/>
      <c r="B20" s="1905"/>
      <c r="C20" s="1388" t="s">
        <v>403</v>
      </c>
      <c r="D20" s="1388" t="s">
        <v>404</v>
      </c>
      <c r="E20" s="1388" t="s">
        <v>398</v>
      </c>
      <c r="F20" s="1268" t="s">
        <v>688</v>
      </c>
      <c r="G20" s="1388" t="s">
        <v>606</v>
      </c>
      <c r="H20" s="692"/>
      <c r="I20" s="1256"/>
      <c r="J20" s="1267"/>
      <c r="K20" s="1258"/>
    </row>
    <row r="21" spans="1:11" s="1261" customFormat="1" ht="22.8" x14ac:dyDescent="0.3">
      <c r="A21" s="1259" t="s">
        <v>402</v>
      </c>
      <c r="B21" s="1254">
        <v>5</v>
      </c>
      <c r="C21" s="1254">
        <v>5</v>
      </c>
      <c r="D21" s="1254"/>
      <c r="E21" s="1254">
        <f>C21+D21</f>
        <v>5</v>
      </c>
      <c r="F21" s="1254"/>
      <c r="G21" s="1254"/>
      <c r="H21" s="581"/>
      <c r="I21" s="1260"/>
      <c r="J21" s="1264"/>
      <c r="K21" s="1262"/>
    </row>
    <row r="22" spans="1:11" s="1257" customFormat="1" ht="32.25" customHeight="1" x14ac:dyDescent="0.4">
      <c r="A22" s="1266"/>
      <c r="B22" s="1266"/>
      <c r="C22" s="581"/>
      <c r="D22" s="1266"/>
      <c r="E22" s="692"/>
      <c r="F22" s="692"/>
      <c r="G22" s="692"/>
      <c r="H22" s="692"/>
      <c r="I22" s="1256"/>
      <c r="J22" s="1267"/>
    </row>
    <row r="23" spans="1:11" s="1257" customFormat="1" ht="22.5" customHeight="1" x14ac:dyDescent="0.4">
      <c r="A23" s="1911" t="s">
        <v>405</v>
      </c>
      <c r="B23" s="1904" t="s">
        <v>832</v>
      </c>
      <c r="C23" s="1906" t="s">
        <v>823</v>
      </c>
      <c r="D23" s="1907"/>
      <c r="E23" s="1907"/>
      <c r="F23" s="1907"/>
      <c r="G23" s="1907"/>
      <c r="H23" s="692"/>
      <c r="I23" s="1269"/>
    </row>
    <row r="24" spans="1:11" s="1257" customFormat="1" ht="83.4" x14ac:dyDescent="0.4">
      <c r="A24" s="1912"/>
      <c r="B24" s="1905"/>
      <c r="C24" s="1388" t="s">
        <v>604</v>
      </c>
      <c r="D24" s="1388" t="s">
        <v>601</v>
      </c>
      <c r="E24" s="1388" t="s">
        <v>398</v>
      </c>
      <c r="F24" s="1268" t="s">
        <v>688</v>
      </c>
      <c r="G24" s="1388" t="s">
        <v>606</v>
      </c>
      <c r="H24" s="692"/>
      <c r="I24" s="1269"/>
    </row>
    <row r="25" spans="1:11" s="1261" customFormat="1" ht="22.8" x14ac:dyDescent="0.3">
      <c r="A25" s="1259" t="s">
        <v>406</v>
      </c>
      <c r="B25" s="1254">
        <v>35</v>
      </c>
      <c r="C25" s="1254">
        <v>26</v>
      </c>
      <c r="D25" s="1255">
        <v>8</v>
      </c>
      <c r="E25" s="1254">
        <f>SUM(C25:D25)</f>
        <v>34</v>
      </c>
      <c r="F25" s="1254"/>
      <c r="G25" s="1254"/>
      <c r="H25" s="581"/>
      <c r="I25" s="1270"/>
    </row>
    <row r="26" spans="1:11" s="1261" customFormat="1" ht="22.8" x14ac:dyDescent="0.3">
      <c r="A26" s="1271" t="s">
        <v>407</v>
      </c>
      <c r="B26" s="1254">
        <v>6</v>
      </c>
      <c r="C26" s="1254">
        <v>6</v>
      </c>
      <c r="D26" s="1255"/>
      <c r="E26" s="1254">
        <f>SUM(C26:D26)</f>
        <v>6</v>
      </c>
      <c r="F26" s="1254"/>
      <c r="G26" s="1254"/>
      <c r="H26" s="581"/>
      <c r="I26" s="1272"/>
    </row>
    <row r="27" spans="1:11" s="1261" customFormat="1" ht="22.8" x14ac:dyDescent="0.3">
      <c r="A27" s="1271" t="s">
        <v>598</v>
      </c>
      <c r="B27" s="1254">
        <v>1</v>
      </c>
      <c r="C27" s="1254">
        <v>1</v>
      </c>
      <c r="D27" s="1255"/>
      <c r="E27" s="1254">
        <f>SUM(C27:D27)</f>
        <v>1</v>
      </c>
      <c r="F27" s="1254"/>
      <c r="G27" s="1254"/>
      <c r="H27" s="581"/>
      <c r="I27" s="1272"/>
    </row>
    <row r="28" spans="1:11" s="1261" customFormat="1" ht="22.8" x14ac:dyDescent="0.3">
      <c r="A28" s="1273" t="s">
        <v>599</v>
      </c>
      <c r="B28" s="1254">
        <v>1</v>
      </c>
      <c r="C28" s="1254">
        <v>1</v>
      </c>
      <c r="D28" s="1255"/>
      <c r="E28" s="1254">
        <f>SUM(C28:D28)</f>
        <v>1</v>
      </c>
      <c r="F28" s="1254">
        <v>2</v>
      </c>
      <c r="G28" s="1254"/>
      <c r="H28" s="581"/>
      <c r="I28" s="1260"/>
      <c r="J28" s="1264"/>
      <c r="K28" s="1262"/>
    </row>
    <row r="29" spans="1:11" s="1261" customFormat="1" ht="22.8" x14ac:dyDescent="0.3">
      <c r="A29" s="1274" t="s">
        <v>600</v>
      </c>
      <c r="B29" s="1263">
        <f t="shared" ref="B29:G29" si="1">B25+B28</f>
        <v>36</v>
      </c>
      <c r="C29" s="1263">
        <f t="shared" si="1"/>
        <v>27</v>
      </c>
      <c r="D29" s="1275">
        <f t="shared" si="1"/>
        <v>8</v>
      </c>
      <c r="E29" s="1263">
        <f t="shared" si="1"/>
        <v>35</v>
      </c>
      <c r="F29" s="1263">
        <f t="shared" si="1"/>
        <v>2</v>
      </c>
      <c r="G29" s="1263">
        <f t="shared" si="1"/>
        <v>0</v>
      </c>
      <c r="H29" s="581"/>
      <c r="I29" s="1260"/>
      <c r="J29" s="1264"/>
      <c r="K29" s="1262"/>
    </row>
    <row r="30" spans="1:11" s="1261" customFormat="1" ht="22.8" x14ac:dyDescent="0.3">
      <c r="A30" s="1253" t="s">
        <v>602</v>
      </c>
      <c r="B30" s="1254">
        <v>10</v>
      </c>
      <c r="C30" s="1254">
        <v>10</v>
      </c>
      <c r="D30" s="1255"/>
      <c r="E30" s="1254">
        <f>SUM(C30:D30)</f>
        <v>10</v>
      </c>
      <c r="F30" s="1254"/>
      <c r="G30" s="1254"/>
      <c r="H30" s="581"/>
      <c r="I30" s="1260"/>
    </row>
    <row r="31" spans="1:11" s="1261" customFormat="1" ht="22.8" x14ac:dyDescent="0.3">
      <c r="A31" s="1252" t="s">
        <v>603</v>
      </c>
      <c r="B31" s="1263">
        <f t="shared" ref="B31:G31" si="2">SUM(B29:B30)</f>
        <v>46</v>
      </c>
      <c r="C31" s="1263">
        <f t="shared" si="2"/>
        <v>37</v>
      </c>
      <c r="D31" s="1263">
        <f t="shared" si="2"/>
        <v>8</v>
      </c>
      <c r="E31" s="1263">
        <f t="shared" si="2"/>
        <v>45</v>
      </c>
      <c r="F31" s="1263">
        <f t="shared" si="2"/>
        <v>2</v>
      </c>
      <c r="G31" s="1263">
        <f t="shared" si="2"/>
        <v>0</v>
      </c>
      <c r="H31" s="581"/>
      <c r="I31" s="1260"/>
    </row>
    <row r="32" spans="1:11" s="1257" customFormat="1" ht="22.8" x14ac:dyDescent="0.4">
      <c r="A32" s="973"/>
      <c r="B32" s="971"/>
      <c r="C32" s="971"/>
      <c r="D32" s="1276"/>
      <c r="E32" s="973"/>
      <c r="F32" s="973"/>
      <c r="G32" s="973"/>
      <c r="H32" s="692"/>
      <c r="I32" s="1256"/>
    </row>
    <row r="33" spans="1:11" s="1280" customFormat="1" ht="22.8" x14ac:dyDescent="0.3">
      <c r="A33" s="1274" t="s">
        <v>408</v>
      </c>
      <c r="B33" s="1277">
        <f>B15+B21+B31</f>
        <v>153</v>
      </c>
      <c r="C33" s="1277">
        <f t="shared" ref="C33:F33" si="3">C15+C21+C31</f>
        <v>93</v>
      </c>
      <c r="D33" s="1277">
        <f t="shared" si="3"/>
        <v>59</v>
      </c>
      <c r="E33" s="1277">
        <f t="shared" si="3"/>
        <v>152</v>
      </c>
      <c r="F33" s="1277">
        <f t="shared" si="3"/>
        <v>6</v>
      </c>
      <c r="G33" s="1277">
        <f>G15+G21+G31</f>
        <v>0</v>
      </c>
      <c r="H33" s="1278"/>
      <c r="I33" s="1279"/>
    </row>
    <row r="34" spans="1:11" s="1257" customFormat="1" ht="32.25" customHeight="1" x14ac:dyDescent="0.4">
      <c r="A34" s="1281"/>
      <c r="B34" s="1281"/>
      <c r="C34" s="1909"/>
      <c r="D34" s="1909"/>
      <c r="E34" s="1909"/>
      <c r="F34" s="1387"/>
      <c r="G34" s="1909"/>
      <c r="H34" s="1909"/>
      <c r="I34" s="1909"/>
    </row>
    <row r="35" spans="1:11" s="1257" customFormat="1" ht="32.25" customHeight="1" x14ac:dyDescent="0.4">
      <c r="A35" s="1282"/>
      <c r="B35" s="1282"/>
      <c r="C35" s="1909"/>
      <c r="D35" s="1909"/>
      <c r="E35" s="1909"/>
      <c r="F35" s="1909"/>
      <c r="G35" s="1281"/>
      <c r="H35" s="1281"/>
      <c r="I35" s="1281"/>
    </row>
    <row r="36" spans="1:11" s="1257" customFormat="1" ht="23.4" customHeight="1" x14ac:dyDescent="0.4">
      <c r="A36" s="1904" t="s">
        <v>683</v>
      </c>
      <c r="B36" s="1904" t="s">
        <v>832</v>
      </c>
      <c r="C36" s="1906" t="s">
        <v>823</v>
      </c>
      <c r="D36" s="1907"/>
      <c r="E36" s="1907"/>
      <c r="F36" s="1907"/>
      <c r="G36" s="1907"/>
      <c r="I36" s="1281"/>
    </row>
    <row r="37" spans="1:11" s="1257" customFormat="1" ht="83.4" x14ac:dyDescent="0.4">
      <c r="A37" s="1905"/>
      <c r="B37" s="1905"/>
      <c r="C37" s="1388" t="s">
        <v>605</v>
      </c>
      <c r="D37" s="1388" t="s">
        <v>409</v>
      </c>
      <c r="E37" s="1388" t="s">
        <v>410</v>
      </c>
      <c r="F37" s="1268" t="s">
        <v>688</v>
      </c>
      <c r="G37" s="1405" t="s">
        <v>689</v>
      </c>
      <c r="H37" s="1376"/>
      <c r="I37" s="1281"/>
    </row>
    <row r="38" spans="1:11" s="1261" customFormat="1" ht="22.8" x14ac:dyDescent="0.3">
      <c r="A38" s="1406" t="s">
        <v>436</v>
      </c>
      <c r="B38" s="1407">
        <v>65.25</v>
      </c>
      <c r="C38" s="1254">
        <v>40.5</v>
      </c>
      <c r="D38" s="1255">
        <v>21.75</v>
      </c>
      <c r="E38" s="1254">
        <f>C38+D38</f>
        <v>62.25</v>
      </c>
      <c r="F38" s="1254">
        <v>3</v>
      </c>
      <c r="G38" s="1408"/>
      <c r="H38" s="1377"/>
      <c r="I38" s="1283"/>
      <c r="K38" s="1262"/>
    </row>
    <row r="39" spans="1:11" s="1261" customFormat="1" ht="22.8" x14ac:dyDescent="0.3">
      <c r="A39" s="1409" t="s">
        <v>780</v>
      </c>
      <c r="B39" s="1410">
        <f>B33</f>
        <v>153</v>
      </c>
      <c r="C39" s="1254">
        <f>C33</f>
        <v>93</v>
      </c>
      <c r="D39" s="1254">
        <f>D33</f>
        <v>59</v>
      </c>
      <c r="E39" s="1254">
        <f>C39+D39</f>
        <v>152</v>
      </c>
      <c r="F39" s="1254">
        <f>F33</f>
        <v>6</v>
      </c>
      <c r="G39" s="1411"/>
      <c r="H39" s="1377"/>
      <c r="I39" s="1283"/>
      <c r="K39" s="1262"/>
    </row>
    <row r="40" spans="1:11" s="419" customFormat="1" ht="48" customHeight="1" x14ac:dyDescent="0.3">
      <c r="A40" s="981" t="s">
        <v>682</v>
      </c>
      <c r="B40" s="982">
        <f>SUM(B38:B39)</f>
        <v>218.25</v>
      </c>
      <c r="C40" s="982">
        <f>SUM(C38:C39)</f>
        <v>133.5</v>
      </c>
      <c r="D40" s="982">
        <f>SUM(D38:D39)</f>
        <v>80.75</v>
      </c>
      <c r="E40" s="982">
        <f>SUM(E38:E39)</f>
        <v>214.25</v>
      </c>
      <c r="F40" s="982">
        <f>SUM(F38:F39)</f>
        <v>9</v>
      </c>
      <c r="G40" s="1375"/>
      <c r="H40" s="1378"/>
      <c r="I40" s="569"/>
    </row>
    <row r="41" spans="1:11" s="62" customFormat="1" ht="21" x14ac:dyDescent="0.4">
      <c r="A41" s="189"/>
      <c r="B41" s="189"/>
      <c r="C41" s="569"/>
      <c r="D41" s="188"/>
      <c r="E41" s="190"/>
      <c r="F41" s="188"/>
      <c r="G41" s="188"/>
      <c r="H41" s="188"/>
      <c r="I41" s="188"/>
    </row>
    <row r="42" spans="1:11" s="59" customFormat="1" x14ac:dyDescent="0.25">
      <c r="A42" s="181"/>
      <c r="B42" s="181"/>
      <c r="C42" s="570"/>
      <c r="D42" s="181"/>
      <c r="E42" s="181"/>
      <c r="F42" s="181"/>
      <c r="G42" s="181"/>
      <c r="H42" s="181"/>
      <c r="I42" s="181"/>
    </row>
    <row r="43" spans="1:11" s="59" customFormat="1" x14ac:dyDescent="0.25">
      <c r="A43" s="181"/>
      <c r="B43" s="181"/>
      <c r="C43" s="570"/>
      <c r="D43" s="181"/>
      <c r="E43" s="181"/>
      <c r="F43" s="181"/>
      <c r="G43" s="181"/>
      <c r="H43" s="181"/>
      <c r="I43" s="181"/>
    </row>
    <row r="44" spans="1:11" s="59" customFormat="1" x14ac:dyDescent="0.25">
      <c r="A44" s="181"/>
      <c r="B44" s="181"/>
      <c r="C44" s="570"/>
      <c r="D44" s="181"/>
      <c r="E44" s="181"/>
      <c r="F44" s="181"/>
      <c r="G44" s="181"/>
      <c r="H44" s="181"/>
      <c r="I44" s="181"/>
    </row>
    <row r="45" spans="1:11" s="59" customFormat="1" x14ac:dyDescent="0.25">
      <c r="A45" s="181"/>
      <c r="B45" s="181"/>
      <c r="C45" s="570"/>
      <c r="D45" s="181"/>
      <c r="E45" s="181"/>
      <c r="F45" s="181"/>
      <c r="G45" s="181"/>
      <c r="H45" s="181"/>
      <c r="I45" s="181"/>
    </row>
    <row r="46" spans="1:11" s="59" customFormat="1" x14ac:dyDescent="0.25">
      <c r="A46" s="181"/>
      <c r="B46" s="181"/>
      <c r="C46" s="570"/>
      <c r="D46" s="181"/>
      <c r="E46" s="181"/>
      <c r="F46" s="181"/>
      <c r="G46" s="181"/>
      <c r="H46" s="181"/>
      <c r="I46" s="181"/>
    </row>
    <row r="47" spans="1:11" s="59" customFormat="1" x14ac:dyDescent="0.25">
      <c r="A47" s="181"/>
      <c r="B47" s="181"/>
      <c r="C47" s="570"/>
      <c r="D47" s="181"/>
      <c r="E47" s="181"/>
      <c r="F47" s="181"/>
      <c r="G47" s="181"/>
      <c r="H47" s="181"/>
      <c r="I47" s="181"/>
    </row>
    <row r="48" spans="1:11" s="59" customFormat="1" x14ac:dyDescent="0.25">
      <c r="A48" s="181"/>
      <c r="B48" s="181"/>
      <c r="C48" s="570"/>
      <c r="D48" s="181"/>
      <c r="E48" s="181"/>
      <c r="F48" s="181"/>
      <c r="G48" s="181"/>
      <c r="H48" s="181"/>
      <c r="I48" s="181"/>
    </row>
    <row r="49" spans="1:9" s="59" customFormat="1" x14ac:dyDescent="0.25">
      <c r="A49" s="181"/>
      <c r="B49" s="181"/>
      <c r="C49" s="570"/>
      <c r="D49" s="181"/>
      <c r="E49" s="181"/>
      <c r="F49" s="181"/>
      <c r="G49" s="181"/>
      <c r="H49" s="181"/>
      <c r="I49" s="181"/>
    </row>
    <row r="50" spans="1:9" s="59" customFormat="1" x14ac:dyDescent="0.25">
      <c r="A50" s="181"/>
      <c r="B50" s="181"/>
      <c r="C50" s="570"/>
      <c r="D50" s="181"/>
      <c r="E50" s="181"/>
      <c r="F50" s="181"/>
      <c r="G50" s="181"/>
      <c r="H50" s="181"/>
      <c r="I50" s="181"/>
    </row>
    <row r="51" spans="1:9" s="59" customFormat="1" x14ac:dyDescent="0.25">
      <c r="A51" s="181"/>
      <c r="B51" s="181"/>
      <c r="C51" s="570"/>
      <c r="D51" s="181"/>
      <c r="E51" s="181"/>
      <c r="F51" s="181"/>
      <c r="G51" s="181"/>
      <c r="H51" s="181"/>
      <c r="I51" s="181"/>
    </row>
    <row r="52" spans="1:9" s="59" customFormat="1" x14ac:dyDescent="0.25">
      <c r="A52" s="181"/>
      <c r="B52" s="181"/>
      <c r="C52" s="570"/>
      <c r="D52" s="181"/>
      <c r="E52" s="181"/>
      <c r="F52" s="181"/>
      <c r="G52" s="181"/>
      <c r="H52" s="181"/>
      <c r="I52" s="181"/>
    </row>
    <row r="53" spans="1:9" s="59" customFormat="1" x14ac:dyDescent="0.25">
      <c r="A53" s="181"/>
      <c r="B53" s="181"/>
      <c r="C53" s="570"/>
      <c r="D53" s="181"/>
      <c r="E53" s="181"/>
      <c r="F53" s="181"/>
      <c r="G53" s="181"/>
      <c r="H53" s="181"/>
      <c r="I53" s="181"/>
    </row>
    <row r="54" spans="1:9" s="59" customFormat="1" x14ac:dyDescent="0.25">
      <c r="A54" s="181"/>
      <c r="B54" s="181"/>
      <c r="C54" s="570"/>
      <c r="D54" s="181"/>
      <c r="E54" s="181"/>
      <c r="F54" s="181"/>
      <c r="G54" s="181"/>
      <c r="H54" s="181"/>
      <c r="I54" s="181"/>
    </row>
    <row r="55" spans="1:9" s="59" customFormat="1" x14ac:dyDescent="0.25">
      <c r="A55" s="181"/>
      <c r="B55" s="181"/>
      <c r="C55" s="570"/>
      <c r="D55" s="181"/>
      <c r="E55" s="181"/>
      <c r="F55" s="181"/>
      <c r="G55" s="181"/>
      <c r="H55" s="181"/>
      <c r="I55" s="181"/>
    </row>
    <row r="56" spans="1:9" s="59" customFormat="1" x14ac:dyDescent="0.25">
      <c r="A56" s="181"/>
      <c r="B56" s="181"/>
      <c r="C56" s="570"/>
      <c r="D56" s="181"/>
      <c r="E56" s="181"/>
      <c r="F56" s="181"/>
      <c r="G56" s="181"/>
      <c r="H56" s="181"/>
      <c r="I56" s="181"/>
    </row>
    <row r="57" spans="1:9" s="59" customFormat="1" x14ac:dyDescent="0.25">
      <c r="A57" s="181"/>
      <c r="B57" s="181"/>
      <c r="C57" s="570"/>
      <c r="D57" s="181"/>
      <c r="E57" s="181"/>
      <c r="F57" s="181"/>
      <c r="G57" s="181"/>
      <c r="H57" s="181"/>
      <c r="I57" s="181"/>
    </row>
    <row r="58" spans="1:9" s="59" customFormat="1" x14ac:dyDescent="0.25">
      <c r="A58" s="181"/>
      <c r="B58" s="181"/>
      <c r="C58" s="570"/>
      <c r="D58" s="181"/>
      <c r="E58" s="181"/>
      <c r="F58" s="181"/>
      <c r="G58" s="181"/>
      <c r="H58" s="181"/>
      <c r="I58" s="181"/>
    </row>
    <row r="59" spans="1:9" s="59" customFormat="1" x14ac:dyDescent="0.25">
      <c r="A59" s="181"/>
      <c r="B59" s="181"/>
      <c r="C59" s="570"/>
      <c r="D59" s="181"/>
      <c r="E59" s="181"/>
      <c r="F59" s="181"/>
      <c r="G59" s="181"/>
      <c r="H59" s="181"/>
      <c r="I59" s="181"/>
    </row>
    <row r="60" spans="1:9" s="59" customFormat="1" x14ac:dyDescent="0.25">
      <c r="A60" s="181"/>
      <c r="B60" s="181"/>
      <c r="C60" s="570"/>
      <c r="D60" s="181"/>
      <c r="E60" s="181"/>
      <c r="F60" s="181"/>
      <c r="G60" s="181"/>
      <c r="H60" s="181"/>
      <c r="I60" s="181"/>
    </row>
    <row r="61" spans="1:9" s="59" customFormat="1" x14ac:dyDescent="0.25">
      <c r="A61" s="181"/>
      <c r="B61" s="181"/>
      <c r="C61" s="570"/>
      <c r="D61" s="181"/>
      <c r="E61" s="181"/>
      <c r="F61" s="181"/>
      <c r="G61" s="181"/>
      <c r="H61" s="181"/>
      <c r="I61" s="181"/>
    </row>
    <row r="62" spans="1:9" s="59" customFormat="1" x14ac:dyDescent="0.25">
      <c r="A62" s="181"/>
      <c r="B62" s="181"/>
      <c r="C62" s="570"/>
      <c r="D62" s="181"/>
      <c r="E62" s="181"/>
      <c r="F62" s="181"/>
      <c r="G62" s="181"/>
      <c r="H62" s="181"/>
      <c r="I62" s="181"/>
    </row>
    <row r="63" spans="1:9" s="59" customFormat="1" x14ac:dyDescent="0.25">
      <c r="A63" s="181"/>
      <c r="B63" s="181"/>
      <c r="C63" s="570"/>
      <c r="D63" s="181"/>
      <c r="E63" s="181"/>
      <c r="F63" s="181"/>
      <c r="G63" s="181"/>
      <c r="H63" s="181"/>
      <c r="I63" s="181"/>
    </row>
    <row r="64" spans="1:9" s="59" customFormat="1" x14ac:dyDescent="0.25">
      <c r="A64" s="181"/>
      <c r="B64" s="181"/>
      <c r="C64" s="570"/>
      <c r="D64" s="181"/>
      <c r="E64" s="181"/>
      <c r="F64" s="181"/>
      <c r="G64" s="181"/>
      <c r="H64" s="181"/>
      <c r="I64" s="181"/>
    </row>
    <row r="65" spans="1:9" s="59" customFormat="1" x14ac:dyDescent="0.25">
      <c r="A65" s="181"/>
      <c r="B65" s="181"/>
      <c r="C65" s="570"/>
      <c r="D65" s="181"/>
      <c r="E65" s="181"/>
      <c r="F65" s="181"/>
      <c r="G65" s="181"/>
      <c r="H65" s="181"/>
      <c r="I65" s="181"/>
    </row>
    <row r="66" spans="1:9" s="59" customFormat="1" x14ac:dyDescent="0.25">
      <c r="A66" s="181"/>
      <c r="B66" s="181"/>
      <c r="C66" s="570"/>
      <c r="D66" s="181"/>
      <c r="E66" s="181"/>
      <c r="F66" s="181"/>
      <c r="G66" s="181"/>
      <c r="H66" s="181"/>
      <c r="I66" s="181"/>
    </row>
    <row r="67" spans="1:9" s="59" customFormat="1" x14ac:dyDescent="0.25">
      <c r="A67" s="181"/>
      <c r="B67" s="181"/>
      <c r="C67" s="570"/>
      <c r="D67" s="181"/>
      <c r="E67" s="181"/>
      <c r="F67" s="181"/>
      <c r="G67" s="181"/>
      <c r="H67" s="181"/>
      <c r="I67" s="181"/>
    </row>
    <row r="68" spans="1:9" s="59" customFormat="1" x14ac:dyDescent="0.25">
      <c r="A68" s="181"/>
      <c r="B68" s="181"/>
      <c r="C68" s="570"/>
      <c r="D68" s="181"/>
      <c r="E68" s="181"/>
      <c r="F68" s="181"/>
      <c r="G68" s="181"/>
      <c r="H68" s="181"/>
      <c r="I68" s="181"/>
    </row>
    <row r="69" spans="1:9" s="59" customFormat="1" x14ac:dyDescent="0.25">
      <c r="A69" s="181"/>
      <c r="B69" s="181"/>
      <c r="C69" s="570"/>
      <c r="D69" s="181"/>
      <c r="E69" s="181"/>
      <c r="F69" s="181"/>
      <c r="G69" s="181"/>
      <c r="H69" s="181"/>
      <c r="I69" s="181"/>
    </row>
    <row r="70" spans="1:9" s="59" customFormat="1" x14ac:dyDescent="0.25">
      <c r="A70" s="181"/>
      <c r="B70" s="181"/>
      <c r="C70" s="570"/>
      <c r="D70" s="181"/>
      <c r="E70" s="181"/>
      <c r="F70" s="181"/>
      <c r="G70" s="181"/>
      <c r="H70" s="181"/>
      <c r="I70" s="181"/>
    </row>
    <row r="71" spans="1:9" s="59" customFormat="1" x14ac:dyDescent="0.25">
      <c r="A71" s="181"/>
      <c r="B71" s="181"/>
      <c r="C71" s="570"/>
      <c r="D71" s="181"/>
      <c r="E71" s="181"/>
      <c r="F71" s="181"/>
      <c r="G71" s="181"/>
      <c r="H71" s="181"/>
      <c r="I71" s="181"/>
    </row>
    <row r="72" spans="1:9" s="59" customFormat="1" x14ac:dyDescent="0.25">
      <c r="A72" s="181"/>
      <c r="B72" s="181"/>
      <c r="C72" s="570"/>
      <c r="D72" s="181"/>
      <c r="E72" s="181"/>
      <c r="F72" s="181"/>
      <c r="G72" s="181"/>
      <c r="H72" s="181"/>
      <c r="I72" s="181"/>
    </row>
    <row r="73" spans="1:9" s="59" customFormat="1" x14ac:dyDescent="0.25">
      <c r="A73" s="181"/>
      <c r="B73" s="181"/>
      <c r="C73" s="570"/>
      <c r="D73" s="181"/>
      <c r="E73" s="181"/>
      <c r="F73" s="181"/>
      <c r="G73" s="181"/>
      <c r="H73" s="181"/>
      <c r="I73" s="181"/>
    </row>
    <row r="74" spans="1:9" s="59" customFormat="1" x14ac:dyDescent="0.25">
      <c r="A74" s="181"/>
      <c r="B74" s="181"/>
      <c r="C74" s="570"/>
      <c r="D74" s="181"/>
      <c r="E74" s="181"/>
      <c r="F74" s="181"/>
      <c r="G74" s="181"/>
      <c r="H74" s="181"/>
      <c r="I74" s="181"/>
    </row>
    <row r="75" spans="1:9" s="59" customFormat="1" x14ac:dyDescent="0.25">
      <c r="A75" s="181"/>
      <c r="B75" s="181"/>
      <c r="C75" s="570"/>
      <c r="D75" s="181"/>
      <c r="E75" s="181"/>
      <c r="F75" s="181"/>
      <c r="G75" s="181"/>
      <c r="H75" s="181"/>
      <c r="I75" s="181"/>
    </row>
    <row r="76" spans="1:9" s="59" customFormat="1" x14ac:dyDescent="0.25">
      <c r="A76" s="181"/>
      <c r="B76" s="181"/>
      <c r="C76" s="570"/>
      <c r="D76" s="181"/>
      <c r="E76" s="181"/>
      <c r="F76" s="181"/>
      <c r="G76" s="181"/>
      <c r="H76" s="181"/>
      <c r="I76" s="181"/>
    </row>
    <row r="77" spans="1:9" s="59" customFormat="1" x14ac:dyDescent="0.25">
      <c r="A77" s="181"/>
      <c r="B77" s="181"/>
      <c r="C77" s="570"/>
      <c r="D77" s="181"/>
      <c r="E77" s="181"/>
      <c r="F77" s="181"/>
      <c r="G77" s="181"/>
      <c r="H77" s="181"/>
      <c r="I77" s="181"/>
    </row>
    <row r="78" spans="1:9" s="59" customFormat="1" x14ac:dyDescent="0.25">
      <c r="C78" s="571"/>
    </row>
    <row r="79" spans="1:9" s="59" customFormat="1" x14ac:dyDescent="0.25">
      <c r="C79" s="571"/>
    </row>
    <row r="80" spans="1:9" s="59" customFormat="1" x14ac:dyDescent="0.25">
      <c r="C80" s="571"/>
    </row>
    <row r="81" spans="1:6" s="59" customFormat="1" x14ac:dyDescent="0.25">
      <c r="C81" s="571"/>
    </row>
    <row r="82" spans="1:6" s="59" customFormat="1" x14ac:dyDescent="0.25">
      <c r="C82" s="571"/>
    </row>
    <row r="83" spans="1:6" s="59" customFormat="1" x14ac:dyDescent="0.25">
      <c r="C83" s="571"/>
    </row>
    <row r="84" spans="1:6" s="59" customFormat="1" x14ac:dyDescent="0.25">
      <c r="C84" s="571"/>
    </row>
    <row r="85" spans="1:6" s="59" customFormat="1" x14ac:dyDescent="0.25">
      <c r="C85" s="571"/>
    </row>
    <row r="86" spans="1:6" s="59" customFormat="1" x14ac:dyDescent="0.25">
      <c r="C86" s="571"/>
    </row>
    <row r="87" spans="1:6" s="59" customFormat="1" x14ac:dyDescent="0.25">
      <c r="C87" s="571"/>
    </row>
    <row r="88" spans="1:6" s="59" customFormat="1" x14ac:dyDescent="0.25">
      <c r="C88" s="571"/>
    </row>
    <row r="89" spans="1:6" x14ac:dyDescent="0.25">
      <c r="A89" s="59"/>
      <c r="B89" s="59"/>
      <c r="C89" s="571"/>
      <c r="D89" s="59"/>
      <c r="E89" s="59"/>
      <c r="F89" s="59"/>
    </row>
    <row r="90" spans="1:6" x14ac:dyDescent="0.25">
      <c r="A90" s="59"/>
      <c r="B90" s="59"/>
      <c r="C90" s="571"/>
      <c r="D90" s="59"/>
      <c r="E90" s="59"/>
      <c r="F90" s="59"/>
    </row>
    <row r="91" spans="1:6" x14ac:dyDescent="0.25">
      <c r="A91" s="59"/>
      <c r="B91" s="59"/>
      <c r="C91" s="571"/>
      <c r="D91" s="59"/>
      <c r="E91" s="59"/>
      <c r="F91" s="59"/>
    </row>
    <row r="92" spans="1:6" x14ac:dyDescent="0.25">
      <c r="A92" s="59"/>
      <c r="B92" s="59"/>
      <c r="C92" s="571"/>
      <c r="D92" s="59"/>
      <c r="E92" s="59"/>
      <c r="F92" s="59"/>
    </row>
    <row r="93" spans="1:6" x14ac:dyDescent="0.25">
      <c r="A93" s="59"/>
      <c r="B93" s="59"/>
      <c r="C93" s="571"/>
      <c r="D93" s="59"/>
      <c r="E93" s="59"/>
      <c r="F93" s="59"/>
    </row>
    <row r="94" spans="1:6" x14ac:dyDescent="0.25">
      <c r="A94" s="59"/>
      <c r="B94" s="59"/>
      <c r="C94" s="571"/>
      <c r="D94" s="59"/>
      <c r="E94" s="59"/>
      <c r="F94" s="59"/>
    </row>
    <row r="95" spans="1:6" x14ac:dyDescent="0.25">
      <c r="A95" s="59"/>
      <c r="B95" s="59"/>
      <c r="C95" s="571"/>
      <c r="D95" s="59"/>
      <c r="E95" s="59"/>
      <c r="F95" s="59"/>
    </row>
    <row r="96" spans="1:6" x14ac:dyDescent="0.25">
      <c r="A96" s="59"/>
      <c r="B96" s="59"/>
      <c r="C96" s="571"/>
      <c r="D96" s="59"/>
      <c r="E96" s="59"/>
      <c r="F96" s="59"/>
    </row>
    <row r="97" spans="1:6" x14ac:dyDescent="0.25">
      <c r="A97" s="59"/>
      <c r="B97" s="59"/>
      <c r="C97" s="571"/>
      <c r="D97" s="59"/>
      <c r="E97" s="59"/>
      <c r="F97" s="59"/>
    </row>
    <row r="98" spans="1:6" x14ac:dyDescent="0.25">
      <c r="A98" s="59"/>
      <c r="B98" s="59"/>
      <c r="C98" s="571"/>
      <c r="D98" s="59"/>
      <c r="E98" s="59"/>
      <c r="F98" s="59"/>
    </row>
    <row r="99" spans="1:6" x14ac:dyDescent="0.25">
      <c r="A99" s="59"/>
      <c r="B99" s="59"/>
      <c r="C99" s="571"/>
      <c r="D99" s="59"/>
      <c r="E99" s="59"/>
      <c r="F99" s="59"/>
    </row>
    <row r="100" spans="1:6" x14ac:dyDescent="0.25">
      <c r="A100" s="59"/>
      <c r="B100" s="59"/>
      <c r="C100" s="571"/>
      <c r="D100" s="59"/>
      <c r="E100" s="59"/>
      <c r="F100" s="59"/>
    </row>
    <row r="101" spans="1:6" x14ac:dyDescent="0.25">
      <c r="A101" s="59"/>
      <c r="B101" s="59"/>
      <c r="C101" s="571"/>
      <c r="D101" s="59"/>
      <c r="E101" s="59"/>
      <c r="F101" s="59"/>
    </row>
    <row r="102" spans="1:6" x14ac:dyDescent="0.25">
      <c r="A102" s="59"/>
      <c r="B102" s="59"/>
      <c r="C102" s="571"/>
      <c r="D102" s="59"/>
      <c r="E102" s="59"/>
      <c r="F102" s="59"/>
    </row>
    <row r="103" spans="1:6" x14ac:dyDescent="0.25">
      <c r="A103" s="59"/>
      <c r="B103" s="59"/>
      <c r="C103" s="571"/>
      <c r="D103" s="59"/>
      <c r="E103" s="59"/>
      <c r="F103" s="59"/>
    </row>
    <row r="104" spans="1:6" x14ac:dyDescent="0.25">
      <c r="A104" s="59"/>
      <c r="B104" s="59"/>
      <c r="C104" s="571"/>
      <c r="D104" s="59"/>
      <c r="E104" s="59"/>
      <c r="F104" s="59"/>
    </row>
    <row r="105" spans="1:6" x14ac:dyDescent="0.25">
      <c r="A105" s="59"/>
      <c r="B105" s="59"/>
      <c r="C105" s="571"/>
      <c r="D105" s="59"/>
      <c r="E105" s="59"/>
      <c r="F105" s="59"/>
    </row>
    <row r="106" spans="1:6" x14ac:dyDescent="0.25">
      <c r="A106" s="59"/>
      <c r="B106" s="59"/>
      <c r="C106" s="571"/>
      <c r="D106" s="59"/>
      <c r="E106" s="59"/>
      <c r="F106" s="59"/>
    </row>
    <row r="107" spans="1:6" x14ac:dyDescent="0.25">
      <c r="A107" s="59"/>
      <c r="B107" s="59"/>
      <c r="C107" s="571"/>
      <c r="D107" s="59"/>
      <c r="E107" s="59"/>
      <c r="F107" s="59"/>
    </row>
    <row r="108" spans="1:6" x14ac:dyDescent="0.25">
      <c r="A108" s="59"/>
      <c r="B108" s="59"/>
      <c r="C108" s="571"/>
      <c r="D108" s="59"/>
      <c r="E108" s="59"/>
      <c r="F108" s="59"/>
    </row>
    <row r="109" spans="1:6" x14ac:dyDescent="0.25">
      <c r="A109" s="59"/>
      <c r="B109" s="59"/>
      <c r="C109" s="571"/>
      <c r="D109" s="59"/>
      <c r="E109" s="59"/>
      <c r="F109" s="59"/>
    </row>
    <row r="110" spans="1:6" x14ac:dyDescent="0.25">
      <c r="A110" s="59"/>
      <c r="B110" s="59"/>
      <c r="C110" s="571"/>
      <c r="D110" s="59"/>
      <c r="E110" s="59"/>
      <c r="F110" s="59"/>
    </row>
    <row r="111" spans="1:6" x14ac:dyDescent="0.25">
      <c r="A111" s="59"/>
      <c r="B111" s="59"/>
      <c r="C111" s="571"/>
      <c r="D111" s="59"/>
      <c r="E111" s="59"/>
      <c r="F111" s="59"/>
    </row>
    <row r="112" spans="1:6" x14ac:dyDescent="0.25">
      <c r="A112" s="59"/>
      <c r="B112" s="59"/>
      <c r="C112" s="571"/>
      <c r="D112" s="59"/>
      <c r="E112" s="59"/>
      <c r="F112" s="59"/>
    </row>
    <row r="113" spans="1:6" x14ac:dyDescent="0.25">
      <c r="A113" s="59"/>
      <c r="B113" s="59"/>
      <c r="C113" s="571"/>
      <c r="D113" s="59"/>
      <c r="E113" s="59"/>
      <c r="F113" s="59"/>
    </row>
    <row r="114" spans="1:6" x14ac:dyDescent="0.25">
      <c r="A114" s="59"/>
      <c r="B114" s="59"/>
      <c r="C114" s="571"/>
      <c r="D114" s="59"/>
      <c r="E114" s="59"/>
      <c r="F114" s="59"/>
    </row>
    <row r="115" spans="1:6" x14ac:dyDescent="0.25">
      <c r="A115" s="59"/>
      <c r="B115" s="59"/>
      <c r="C115" s="571"/>
      <c r="D115" s="59"/>
      <c r="E115" s="59"/>
      <c r="F115" s="59"/>
    </row>
    <row r="116" spans="1:6" x14ac:dyDescent="0.25">
      <c r="A116" s="59"/>
      <c r="B116" s="59"/>
      <c r="C116" s="571"/>
      <c r="D116" s="59"/>
      <c r="E116" s="59"/>
      <c r="F116" s="59"/>
    </row>
    <row r="117" spans="1:6" x14ac:dyDescent="0.25">
      <c r="A117" s="59"/>
      <c r="B117" s="59"/>
      <c r="C117" s="571"/>
      <c r="D117" s="59"/>
      <c r="E117" s="59"/>
      <c r="F117" s="59"/>
    </row>
    <row r="118" spans="1:6" x14ac:dyDescent="0.25">
      <c r="A118" s="59"/>
      <c r="B118" s="59"/>
      <c r="C118" s="571"/>
      <c r="D118" s="59"/>
      <c r="E118" s="59"/>
      <c r="F118" s="59"/>
    </row>
    <row r="119" spans="1:6" x14ac:dyDescent="0.25">
      <c r="A119" s="59"/>
      <c r="B119" s="59"/>
      <c r="C119" s="571"/>
      <c r="D119" s="59"/>
      <c r="E119" s="59"/>
      <c r="F119" s="59"/>
    </row>
    <row r="120" spans="1:6" x14ac:dyDescent="0.25">
      <c r="A120" s="59"/>
      <c r="B120" s="59"/>
      <c r="C120" s="571"/>
      <c r="D120" s="59"/>
      <c r="E120" s="59"/>
      <c r="F120" s="59"/>
    </row>
    <row r="121" spans="1:6" x14ac:dyDescent="0.25">
      <c r="A121" s="59"/>
      <c r="B121" s="59"/>
      <c r="C121" s="571"/>
      <c r="D121" s="59"/>
      <c r="E121" s="59"/>
      <c r="F121" s="59"/>
    </row>
    <row r="122" spans="1:6" x14ac:dyDescent="0.25">
      <c r="A122" s="59"/>
      <c r="B122" s="59"/>
      <c r="C122" s="571"/>
      <c r="D122" s="59"/>
      <c r="E122" s="59"/>
      <c r="F122" s="59"/>
    </row>
    <row r="123" spans="1:6" x14ac:dyDescent="0.25">
      <c r="A123" s="59"/>
      <c r="B123" s="59"/>
      <c r="C123" s="571"/>
      <c r="D123" s="59"/>
      <c r="E123" s="59"/>
      <c r="F123" s="59"/>
    </row>
    <row r="124" spans="1:6" x14ac:dyDescent="0.25">
      <c r="A124" s="59"/>
      <c r="B124" s="59"/>
      <c r="C124" s="571"/>
      <c r="D124" s="59"/>
      <c r="E124" s="59"/>
      <c r="F124" s="59"/>
    </row>
    <row r="125" spans="1:6" x14ac:dyDescent="0.25">
      <c r="A125" s="59"/>
      <c r="B125" s="59"/>
      <c r="C125" s="571"/>
      <c r="D125" s="59"/>
      <c r="E125" s="59"/>
      <c r="F125" s="59"/>
    </row>
    <row r="126" spans="1:6" x14ac:dyDescent="0.25">
      <c r="A126" s="59"/>
      <c r="B126" s="59"/>
      <c r="C126" s="571"/>
      <c r="D126" s="59"/>
      <c r="E126" s="59"/>
      <c r="F126" s="59"/>
    </row>
    <row r="127" spans="1:6" x14ac:dyDescent="0.25">
      <c r="A127" s="59"/>
      <c r="B127" s="59"/>
      <c r="C127" s="571"/>
      <c r="D127" s="59"/>
      <c r="E127" s="59"/>
      <c r="F127" s="59"/>
    </row>
    <row r="128" spans="1:6" x14ac:dyDescent="0.25">
      <c r="A128" s="59"/>
      <c r="B128" s="59"/>
      <c r="C128" s="571"/>
      <c r="D128" s="59"/>
      <c r="E128" s="59"/>
      <c r="F128" s="59"/>
    </row>
    <row r="129" spans="1:6" x14ac:dyDescent="0.25">
      <c r="A129" s="59"/>
      <c r="B129" s="59"/>
      <c r="C129" s="571"/>
      <c r="D129" s="59"/>
      <c r="E129" s="59"/>
      <c r="F129" s="59"/>
    </row>
    <row r="130" spans="1:6" x14ac:dyDescent="0.25">
      <c r="A130" s="59"/>
      <c r="B130" s="59"/>
      <c r="C130" s="571"/>
      <c r="D130" s="59"/>
      <c r="E130" s="59"/>
      <c r="F130" s="59"/>
    </row>
    <row r="131" spans="1:6" x14ac:dyDescent="0.25">
      <c r="A131" s="59"/>
      <c r="B131" s="59"/>
      <c r="C131" s="571"/>
      <c r="D131" s="59"/>
      <c r="E131" s="59"/>
      <c r="F131" s="59"/>
    </row>
    <row r="132" spans="1:6" x14ac:dyDescent="0.25">
      <c r="A132" s="59"/>
      <c r="B132" s="59"/>
      <c r="C132" s="571"/>
      <c r="D132" s="59"/>
      <c r="E132" s="59"/>
      <c r="F132" s="59"/>
    </row>
    <row r="133" spans="1:6" x14ac:dyDescent="0.25">
      <c r="A133" s="59"/>
      <c r="B133" s="59"/>
      <c r="C133" s="571"/>
      <c r="D133" s="59"/>
      <c r="E133" s="59"/>
      <c r="F133" s="59"/>
    </row>
    <row r="134" spans="1:6" x14ac:dyDescent="0.25">
      <c r="A134" s="59"/>
      <c r="B134" s="59"/>
      <c r="C134" s="571"/>
      <c r="D134" s="59"/>
      <c r="E134" s="59"/>
      <c r="F134" s="59"/>
    </row>
    <row r="135" spans="1:6" x14ac:dyDescent="0.25">
      <c r="A135" s="59"/>
      <c r="B135" s="59"/>
      <c r="C135" s="571"/>
      <c r="D135" s="59"/>
      <c r="E135" s="59"/>
      <c r="F135" s="59"/>
    </row>
    <row r="136" spans="1:6" x14ac:dyDescent="0.25">
      <c r="A136" s="59"/>
      <c r="B136" s="59"/>
      <c r="C136" s="571"/>
      <c r="D136" s="59"/>
      <c r="E136" s="59"/>
      <c r="F136" s="59"/>
    </row>
    <row r="137" spans="1:6" x14ac:dyDescent="0.25">
      <c r="A137" s="59"/>
      <c r="B137" s="59"/>
      <c r="C137" s="571"/>
      <c r="D137" s="59"/>
      <c r="E137" s="59"/>
      <c r="F137" s="59"/>
    </row>
    <row r="138" spans="1:6" x14ac:dyDescent="0.25">
      <c r="A138" s="59"/>
      <c r="B138" s="59"/>
      <c r="C138" s="571"/>
      <c r="D138" s="59"/>
      <c r="E138" s="59"/>
      <c r="F138" s="59"/>
    </row>
    <row r="139" spans="1:6" x14ac:dyDescent="0.25">
      <c r="A139" s="59"/>
      <c r="B139" s="59"/>
      <c r="C139" s="571"/>
      <c r="D139" s="59"/>
      <c r="E139" s="59"/>
      <c r="F139" s="59"/>
    </row>
    <row r="140" spans="1:6" x14ac:dyDescent="0.25">
      <c r="A140" s="59"/>
      <c r="B140" s="59"/>
      <c r="C140" s="571"/>
      <c r="D140" s="59"/>
      <c r="E140" s="59"/>
      <c r="F140" s="59"/>
    </row>
    <row r="141" spans="1:6" x14ac:dyDescent="0.25">
      <c r="A141" s="59"/>
      <c r="B141" s="59"/>
      <c r="C141" s="571"/>
      <c r="D141" s="59"/>
      <c r="E141" s="59"/>
      <c r="F141" s="59"/>
    </row>
    <row r="142" spans="1:6" x14ac:dyDescent="0.25">
      <c r="A142" s="59"/>
      <c r="B142" s="59"/>
      <c r="C142" s="571"/>
      <c r="D142" s="59"/>
      <c r="E142" s="59"/>
      <c r="F142" s="59"/>
    </row>
    <row r="143" spans="1:6" x14ac:dyDescent="0.25">
      <c r="A143" s="59"/>
      <c r="B143" s="59"/>
      <c r="C143" s="571"/>
      <c r="D143" s="59"/>
      <c r="E143" s="59"/>
      <c r="F143" s="59"/>
    </row>
    <row r="144" spans="1:6" x14ac:dyDescent="0.25">
      <c r="A144" s="59"/>
      <c r="B144" s="59"/>
      <c r="C144" s="571"/>
      <c r="D144" s="59"/>
      <c r="E144" s="59"/>
      <c r="F144" s="59"/>
    </row>
    <row r="145" spans="1:6" x14ac:dyDescent="0.25">
      <c r="A145" s="59"/>
      <c r="B145" s="59"/>
      <c r="C145" s="571"/>
      <c r="D145" s="59"/>
      <c r="E145" s="59"/>
      <c r="F145" s="59"/>
    </row>
    <row r="146" spans="1:6" x14ac:dyDescent="0.25">
      <c r="A146" s="59"/>
      <c r="B146" s="59"/>
      <c r="C146" s="571"/>
      <c r="D146" s="59"/>
      <c r="E146" s="59"/>
      <c r="F146" s="59"/>
    </row>
    <row r="147" spans="1:6" x14ac:dyDescent="0.25">
      <c r="A147" s="59"/>
      <c r="B147" s="59"/>
      <c r="C147" s="571"/>
      <c r="D147" s="59"/>
      <c r="E147" s="59"/>
      <c r="F147" s="59"/>
    </row>
    <row r="148" spans="1:6" x14ac:dyDescent="0.25">
      <c r="A148" s="59"/>
      <c r="B148" s="59"/>
      <c r="C148" s="571"/>
      <c r="D148" s="59"/>
      <c r="E148" s="59"/>
      <c r="F148" s="59"/>
    </row>
    <row r="149" spans="1:6" x14ac:dyDescent="0.25">
      <c r="A149" s="59"/>
      <c r="B149" s="59"/>
      <c r="C149" s="571"/>
      <c r="D149" s="59"/>
      <c r="E149" s="59"/>
      <c r="F149" s="59"/>
    </row>
    <row r="150" spans="1:6" x14ac:dyDescent="0.25">
      <c r="A150" s="59"/>
      <c r="B150" s="59"/>
      <c r="C150" s="571"/>
      <c r="D150" s="59"/>
      <c r="E150" s="59"/>
      <c r="F150" s="59"/>
    </row>
    <row r="151" spans="1:6" x14ac:dyDescent="0.25">
      <c r="A151" s="59"/>
      <c r="B151" s="59"/>
      <c r="C151" s="571"/>
      <c r="D151" s="59"/>
      <c r="E151" s="59"/>
      <c r="F151" s="59"/>
    </row>
    <row r="152" spans="1:6" x14ac:dyDescent="0.25">
      <c r="A152" s="59"/>
      <c r="B152" s="59"/>
      <c r="C152" s="571"/>
      <c r="D152" s="59"/>
      <c r="E152" s="59"/>
      <c r="F152" s="59"/>
    </row>
    <row r="153" spans="1:6" x14ac:dyDescent="0.25">
      <c r="A153" s="59"/>
      <c r="B153" s="59"/>
      <c r="C153" s="571"/>
      <c r="D153" s="59"/>
      <c r="E153" s="59"/>
      <c r="F153" s="59"/>
    </row>
    <row r="154" spans="1:6" x14ac:dyDescent="0.25">
      <c r="A154" s="59"/>
      <c r="B154" s="59"/>
      <c r="C154" s="571"/>
      <c r="D154" s="59"/>
      <c r="E154" s="59"/>
      <c r="F154" s="59"/>
    </row>
    <row r="155" spans="1:6" x14ac:dyDescent="0.25">
      <c r="A155" s="59"/>
      <c r="B155" s="59"/>
      <c r="C155" s="571"/>
      <c r="D155" s="59"/>
      <c r="E155" s="59"/>
      <c r="F155" s="59"/>
    </row>
    <row r="156" spans="1:6" x14ac:dyDescent="0.25">
      <c r="A156" s="59"/>
      <c r="B156" s="59"/>
      <c r="C156" s="571"/>
      <c r="D156" s="59"/>
      <c r="E156" s="59"/>
      <c r="F156" s="59"/>
    </row>
    <row r="157" spans="1:6" x14ac:dyDescent="0.25">
      <c r="A157" s="59"/>
      <c r="B157" s="59"/>
      <c r="C157" s="571"/>
      <c r="D157" s="59"/>
      <c r="E157" s="59"/>
      <c r="F157" s="59"/>
    </row>
    <row r="158" spans="1:6" x14ac:dyDescent="0.25">
      <c r="A158" s="59"/>
      <c r="B158" s="59"/>
      <c r="C158" s="571"/>
      <c r="D158" s="59"/>
      <c r="E158" s="59"/>
      <c r="F158" s="59"/>
    </row>
    <row r="159" spans="1:6" x14ac:dyDescent="0.25">
      <c r="A159" s="59"/>
      <c r="B159" s="59"/>
      <c r="C159" s="571"/>
      <c r="D159" s="59"/>
      <c r="E159" s="59"/>
      <c r="F159" s="59"/>
    </row>
    <row r="160" spans="1:6" x14ac:dyDescent="0.25">
      <c r="A160" s="59"/>
      <c r="B160" s="59"/>
      <c r="C160" s="571"/>
      <c r="D160" s="59"/>
      <c r="E160" s="59"/>
      <c r="F160" s="59"/>
    </row>
    <row r="161" spans="1:6" x14ac:dyDescent="0.25">
      <c r="A161" s="59"/>
      <c r="B161" s="59"/>
      <c r="C161" s="571"/>
      <c r="D161" s="59"/>
      <c r="E161" s="59"/>
      <c r="F161" s="59"/>
    </row>
    <row r="162" spans="1:6" x14ac:dyDescent="0.25">
      <c r="A162" s="59"/>
      <c r="B162" s="59"/>
      <c r="C162" s="571"/>
      <c r="D162" s="59"/>
      <c r="E162" s="59"/>
      <c r="F162" s="59"/>
    </row>
    <row r="163" spans="1:6" x14ac:dyDescent="0.25">
      <c r="A163" s="59"/>
      <c r="B163" s="59"/>
      <c r="C163" s="571"/>
      <c r="D163" s="59"/>
      <c r="E163" s="59"/>
      <c r="F163" s="59"/>
    </row>
    <row r="164" spans="1:6" x14ac:dyDescent="0.25">
      <c r="A164" s="59"/>
      <c r="B164" s="59"/>
      <c r="C164" s="571"/>
      <c r="D164" s="59"/>
      <c r="E164" s="59"/>
      <c r="F164" s="59"/>
    </row>
    <row r="165" spans="1:6" x14ac:dyDescent="0.25">
      <c r="A165" s="59"/>
      <c r="B165" s="59"/>
      <c r="C165" s="571"/>
      <c r="D165" s="59"/>
      <c r="E165" s="59"/>
      <c r="F165" s="59"/>
    </row>
    <row r="166" spans="1:6" x14ac:dyDescent="0.25">
      <c r="A166" s="59"/>
      <c r="B166" s="59"/>
      <c r="C166" s="571"/>
      <c r="D166" s="59"/>
      <c r="E166" s="59"/>
      <c r="F166" s="59"/>
    </row>
    <row r="167" spans="1:6" x14ac:dyDescent="0.25">
      <c r="A167" s="59"/>
      <c r="B167" s="59"/>
      <c r="C167" s="571"/>
      <c r="D167" s="59"/>
      <c r="E167" s="59"/>
      <c r="F167" s="59"/>
    </row>
    <row r="168" spans="1:6" x14ac:dyDescent="0.25">
      <c r="A168" s="59"/>
      <c r="B168" s="59"/>
      <c r="C168" s="571"/>
      <c r="D168" s="59"/>
      <c r="E168" s="59"/>
      <c r="F168" s="59"/>
    </row>
    <row r="169" spans="1:6" x14ac:dyDescent="0.25">
      <c r="A169" s="59"/>
      <c r="B169" s="59"/>
      <c r="C169" s="571"/>
      <c r="D169" s="59"/>
      <c r="E169" s="59"/>
      <c r="F169" s="59"/>
    </row>
    <row r="170" spans="1:6" x14ac:dyDescent="0.25">
      <c r="A170" s="59"/>
      <c r="B170" s="59"/>
      <c r="C170" s="571"/>
      <c r="D170" s="59"/>
      <c r="E170" s="59"/>
      <c r="F170" s="59"/>
    </row>
    <row r="171" spans="1:6" x14ac:dyDescent="0.25">
      <c r="A171" s="59"/>
      <c r="B171" s="59"/>
      <c r="C171" s="571"/>
      <c r="D171" s="59"/>
      <c r="E171" s="59"/>
      <c r="F171" s="59"/>
    </row>
    <row r="172" spans="1:6" x14ac:dyDescent="0.25">
      <c r="A172" s="59"/>
      <c r="B172" s="59"/>
      <c r="C172" s="571"/>
      <c r="D172" s="59"/>
      <c r="E172" s="59"/>
      <c r="F172" s="59"/>
    </row>
    <row r="173" spans="1:6" x14ac:dyDescent="0.25">
      <c r="A173" s="59"/>
      <c r="B173" s="59"/>
      <c r="C173" s="571"/>
      <c r="D173" s="59"/>
      <c r="E173" s="59"/>
      <c r="F173" s="59"/>
    </row>
    <row r="174" spans="1:6" x14ac:dyDescent="0.25">
      <c r="A174" s="59"/>
      <c r="B174" s="59"/>
      <c r="C174" s="571"/>
      <c r="D174" s="59"/>
      <c r="E174" s="59"/>
      <c r="F174" s="59"/>
    </row>
    <row r="175" spans="1:6" x14ac:dyDescent="0.25">
      <c r="A175" s="59"/>
      <c r="B175" s="59"/>
      <c r="C175" s="571"/>
      <c r="D175" s="59"/>
      <c r="E175" s="59"/>
      <c r="F175" s="59"/>
    </row>
    <row r="176" spans="1:6" x14ac:dyDescent="0.25">
      <c r="A176" s="59"/>
      <c r="B176" s="59"/>
      <c r="C176" s="571"/>
      <c r="D176" s="59"/>
      <c r="E176" s="59"/>
      <c r="F176" s="59"/>
    </row>
    <row r="177" spans="1:6" x14ac:dyDescent="0.25">
      <c r="A177" s="59"/>
      <c r="B177" s="59"/>
      <c r="C177" s="571"/>
      <c r="D177" s="59"/>
      <c r="E177" s="59"/>
      <c r="F177" s="59"/>
    </row>
  </sheetData>
  <mergeCells count="18">
    <mergeCell ref="C23:G23"/>
    <mergeCell ref="C8:G8"/>
    <mergeCell ref="A36:A37"/>
    <mergeCell ref="B36:B37"/>
    <mergeCell ref="C36:G36"/>
    <mergeCell ref="A1:G1"/>
    <mergeCell ref="C35:F35"/>
    <mergeCell ref="C34:E34"/>
    <mergeCell ref="G34:I34"/>
    <mergeCell ref="A4:G4"/>
    <mergeCell ref="A2:G2"/>
    <mergeCell ref="A8:A9"/>
    <mergeCell ref="B8:B9"/>
    <mergeCell ref="A19:A20"/>
    <mergeCell ref="B19:B20"/>
    <mergeCell ref="C19:G19"/>
    <mergeCell ref="A23:A24"/>
    <mergeCell ref="B23:B24"/>
  </mergeCells>
  <phoneticPr fontId="57" type="noConversion"/>
  <printOptions horizontalCentered="1"/>
  <pageMargins left="0.39370078740157483" right="0.39370078740157483" top="0.39370078740157483" bottom="0.39370078740157483" header="0.59055118110236227" footer="0.51181102362204722"/>
  <pageSetup paperSize="9" scale="48" firstPageNumber="0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92D050"/>
    <pageSetUpPr fitToPage="1"/>
  </sheetPr>
  <dimension ref="A1:K43"/>
  <sheetViews>
    <sheetView view="pageBreakPreview" zoomScale="40" zoomScaleSheetLayoutView="40" workbookViewId="0">
      <selection activeCell="B14" sqref="B14"/>
    </sheetView>
  </sheetViews>
  <sheetFormatPr defaultColWidth="9.109375" defaultRowHeight="18" x14ac:dyDescent="0.35"/>
  <cols>
    <col min="1" max="1" width="87.5546875" style="256" customWidth="1"/>
    <col min="2" max="2" width="22" style="256" customWidth="1"/>
    <col min="3" max="3" width="21.6640625" style="256" customWidth="1"/>
    <col min="4" max="4" width="20.33203125" style="256" customWidth="1"/>
    <col min="5" max="5" width="21.88671875" style="256" customWidth="1"/>
    <col min="6" max="6" width="95.88671875" style="256" customWidth="1"/>
    <col min="7" max="7" width="19.88671875" style="256" customWidth="1"/>
    <col min="8" max="8" width="22.44140625" style="256" customWidth="1"/>
    <col min="9" max="9" width="24.109375" style="256" customWidth="1"/>
    <col min="10" max="10" width="23" style="256" customWidth="1"/>
    <col min="11" max="23" width="0" style="256" hidden="1" customWidth="1"/>
    <col min="24" max="16384" width="9.109375" style="256"/>
  </cols>
  <sheetData>
    <row r="1" spans="1:11" s="307" customFormat="1" ht="28.8" x14ac:dyDescent="0.55000000000000004">
      <c r="A1" s="1826" t="str">
        <f>Tartalomjegyzék_2021!A1</f>
        <v>Pilisvörösvár Város Önkormányzata Képviselő-testületének 1/2021. (II. 15.) önkormányzati rendelete</v>
      </c>
      <c r="B1" s="1826"/>
      <c r="C1" s="1826"/>
      <c r="D1" s="1826"/>
      <c r="E1" s="1826"/>
      <c r="F1" s="1826"/>
      <c r="G1" s="1827"/>
      <c r="H1" s="1827"/>
      <c r="I1" s="1827"/>
      <c r="J1" s="1827"/>
      <c r="K1" s="1362" t="s">
        <v>758</v>
      </c>
    </row>
    <row r="2" spans="1:11" s="307" customFormat="1" ht="26.25" customHeight="1" x14ac:dyDescent="0.55000000000000004">
      <c r="A2" s="1826" t="str">
        <f>Tartalomjegyzék_2021!A2</f>
        <v>az Önkormányzat  2021. évi költségvetéséről</v>
      </c>
      <c r="B2" s="1826"/>
      <c r="C2" s="1826"/>
      <c r="D2" s="1826"/>
      <c r="E2" s="1826"/>
      <c r="F2" s="1826"/>
      <c r="G2" s="1827"/>
      <c r="H2" s="1827"/>
      <c r="I2" s="1827"/>
      <c r="J2" s="1827"/>
    </row>
    <row r="3" spans="1:11" s="307" customFormat="1" ht="26.25" customHeight="1" x14ac:dyDescent="0.55000000000000004">
      <c r="A3" s="1826" t="str">
        <f>Tartalomjegyzék_2021!B7</f>
        <v>Pilisvörösvár Város Önkormányzata működési, felhalmozási célú bevételi és kiadási előirányzatok bemutatása</v>
      </c>
      <c r="B3" s="1826"/>
      <c r="C3" s="1826"/>
      <c r="D3" s="1826"/>
      <c r="E3" s="1826"/>
      <c r="F3" s="1826"/>
      <c r="G3" s="1827"/>
      <c r="H3" s="1827"/>
      <c r="I3" s="1827"/>
      <c r="J3" s="1827"/>
    </row>
    <row r="4" spans="1:11" s="307" customFormat="1" ht="30" customHeight="1" x14ac:dyDescent="0.5">
      <c r="A4" s="462"/>
      <c r="B4" s="555"/>
      <c r="C4" s="555"/>
      <c r="D4" s="555"/>
      <c r="E4" s="555"/>
      <c r="F4" s="462"/>
      <c r="G4" s="556"/>
      <c r="H4" s="755"/>
      <c r="J4" s="829" t="s">
        <v>235</v>
      </c>
    </row>
    <row r="5" spans="1:11" ht="28.2" x14ac:dyDescent="0.5">
      <c r="A5" s="7"/>
      <c r="B5" s="7"/>
      <c r="C5" s="7"/>
      <c r="D5" s="7"/>
      <c r="E5" s="7"/>
      <c r="F5" s="7"/>
      <c r="G5" s="7"/>
      <c r="H5" s="7"/>
      <c r="J5" s="829"/>
    </row>
    <row r="6" spans="1:11" ht="24.75" customHeight="1" thickBot="1" x14ac:dyDescent="0.55000000000000004">
      <c r="A6" s="6"/>
      <c r="B6" s="6"/>
      <c r="C6" s="6"/>
      <c r="D6" s="6"/>
      <c r="E6" s="6"/>
      <c r="F6" s="6"/>
      <c r="G6" s="6"/>
      <c r="H6" s="6"/>
      <c r="J6" s="830" t="s">
        <v>236</v>
      </c>
    </row>
    <row r="7" spans="1:11" ht="23.4" x14ac:dyDescent="0.45">
      <c r="A7" s="1820" t="s">
        <v>553</v>
      </c>
      <c r="B7" s="1821"/>
      <c r="C7" s="1821"/>
      <c r="D7" s="1824"/>
      <c r="E7" s="1825"/>
      <c r="F7" s="1820" t="s">
        <v>554</v>
      </c>
      <c r="G7" s="1821"/>
      <c r="H7" s="1821"/>
      <c r="I7" s="1822"/>
      <c r="J7" s="1823"/>
    </row>
    <row r="8" spans="1:11" s="257" customFormat="1" ht="138" customHeight="1" x14ac:dyDescent="0.3">
      <c r="A8" s="671" t="s">
        <v>237</v>
      </c>
      <c r="B8" s="670" t="s">
        <v>776</v>
      </c>
      <c r="C8" s="670" t="s">
        <v>808</v>
      </c>
      <c r="D8" s="670" t="s">
        <v>777</v>
      </c>
      <c r="E8" s="670" t="s">
        <v>809</v>
      </c>
      <c r="F8" s="671" t="s">
        <v>237</v>
      </c>
      <c r="G8" s="670" t="s">
        <v>778</v>
      </c>
      <c r="H8" s="670" t="s">
        <v>810</v>
      </c>
      <c r="I8" s="670" t="s">
        <v>779</v>
      </c>
      <c r="J8" s="670" t="s">
        <v>811</v>
      </c>
    </row>
    <row r="9" spans="1:11" s="308" customFormat="1" ht="70.5" customHeight="1" x14ac:dyDescent="0.3">
      <c r="A9" s="672" t="s">
        <v>225</v>
      </c>
      <c r="B9" s="347">
        <f>'2.Bevételek_részletes'!I10</f>
        <v>1067408.7246874999</v>
      </c>
      <c r="C9" s="347">
        <f>'2.Bevételek_részletes'!J10</f>
        <v>1516766</v>
      </c>
      <c r="D9" s="347">
        <f>'2.Bevételek_részletes'!K10</f>
        <v>1067408.7246874999</v>
      </c>
      <c r="E9" s="677">
        <f>'2.Bevételek_részletes'!L10</f>
        <v>1516766</v>
      </c>
      <c r="F9" s="758" t="s">
        <v>206</v>
      </c>
      <c r="G9" s="347">
        <f>'2.Kiadások_részletes '!I11</f>
        <v>1029078</v>
      </c>
      <c r="H9" s="347">
        <f>'2.Kiadások_részletes '!J11</f>
        <v>1046148</v>
      </c>
      <c r="I9" s="347">
        <f>'2.Kiadások_részletes '!K11</f>
        <v>1029078</v>
      </c>
      <c r="J9" s="677">
        <f>'2.Kiadások_részletes '!L11</f>
        <v>1046148</v>
      </c>
    </row>
    <row r="10" spans="1:11" s="308" customFormat="1" ht="70.5" customHeight="1" x14ac:dyDescent="0.3">
      <c r="A10" s="672" t="s">
        <v>226</v>
      </c>
      <c r="B10" s="347">
        <f>'2.Bevételek_részletes'!I12</f>
        <v>0</v>
      </c>
      <c r="C10" s="347">
        <f>'2.Bevételek_részletes'!J12</f>
        <v>0</v>
      </c>
      <c r="D10" s="347">
        <f>'2.Bevételek_részletes'!K12</f>
        <v>0</v>
      </c>
      <c r="E10" s="677">
        <f>'2.Bevételek_részletes'!L12</f>
        <v>0</v>
      </c>
      <c r="F10" s="758" t="s">
        <v>207</v>
      </c>
      <c r="G10" s="347">
        <f>'2.Kiadások_részletes '!I12</f>
        <v>188819</v>
      </c>
      <c r="H10" s="347">
        <f>'2.Kiadások_részletes '!J12</f>
        <v>163531</v>
      </c>
      <c r="I10" s="347">
        <f>'2.Kiadások_részletes '!K12</f>
        <v>188819</v>
      </c>
      <c r="J10" s="677">
        <f>'2.Kiadások_részletes '!L12</f>
        <v>163531</v>
      </c>
    </row>
    <row r="11" spans="1:11" s="308" customFormat="1" ht="70.5" customHeight="1" x14ac:dyDescent="0.3">
      <c r="A11" s="672" t="s">
        <v>227</v>
      </c>
      <c r="B11" s="347">
        <f>'2.Bevételek_részletes'!I16</f>
        <v>758650</v>
      </c>
      <c r="C11" s="347">
        <f>'2.Bevételek_részletes'!J16</f>
        <v>573635</v>
      </c>
      <c r="D11" s="347">
        <f>'2.Bevételek_részletes'!K16</f>
        <v>758650</v>
      </c>
      <c r="E11" s="677">
        <f>'2.Bevételek_részletes'!L16</f>
        <v>573635</v>
      </c>
      <c r="F11" s="758" t="s">
        <v>208</v>
      </c>
      <c r="G11" s="347">
        <f>'2.Kiadások_részletes '!I13-1</f>
        <v>722353.53283000004</v>
      </c>
      <c r="H11" s="347">
        <f>'2.Kiadások_részletes '!J13</f>
        <v>739430.86</v>
      </c>
      <c r="I11" s="347">
        <f>'2.Kiadások_részletes '!K13-1</f>
        <v>722353.53283000004</v>
      </c>
      <c r="J11" s="677">
        <f>'2.Kiadások_részletes '!L13</f>
        <v>739430.86</v>
      </c>
    </row>
    <row r="12" spans="1:11" s="308" customFormat="1" ht="70.5" customHeight="1" x14ac:dyDescent="0.3">
      <c r="A12" s="672" t="s">
        <v>228</v>
      </c>
      <c r="B12" s="347">
        <f>'2.Bevételek_részletes'!I24</f>
        <v>365930.91626173997</v>
      </c>
      <c r="C12" s="347">
        <f>'2.Bevételek_részletes'!J24</f>
        <v>261558</v>
      </c>
      <c r="D12" s="347">
        <f>'2.Bevételek_részletes'!K24</f>
        <v>365930.91626173997</v>
      </c>
      <c r="E12" s="677">
        <f>'2.Bevételek_részletes'!L24</f>
        <v>261558</v>
      </c>
      <c r="F12" s="758" t="s">
        <v>209</v>
      </c>
      <c r="G12" s="347">
        <f>'2.Kiadások_részletes '!I14</f>
        <v>19932</v>
      </c>
      <c r="H12" s="347">
        <f>'2.Kiadások_részletes '!J14</f>
        <v>17432</v>
      </c>
      <c r="I12" s="347">
        <f>'2.Kiadások_részletes '!K14</f>
        <v>19932</v>
      </c>
      <c r="J12" s="677">
        <f>'2.Kiadások_részletes '!L14</f>
        <v>17432</v>
      </c>
    </row>
    <row r="13" spans="1:11" s="308" customFormat="1" ht="70.5" customHeight="1" x14ac:dyDescent="0.3">
      <c r="A13" s="672" t="s">
        <v>229</v>
      </c>
      <c r="B13" s="347">
        <f>'2.Bevételek_részletes'!I27</f>
        <v>13200.856</v>
      </c>
      <c r="C13" s="347">
        <f>'2.Bevételek_részletes'!J27</f>
        <v>58399</v>
      </c>
      <c r="D13" s="347">
        <f>'2.Bevételek_részletes'!K27</f>
        <v>13200.856</v>
      </c>
      <c r="E13" s="677">
        <f>'2.Bevételek_részletes'!L27</f>
        <v>58399</v>
      </c>
      <c r="F13" s="758" t="s">
        <v>210</v>
      </c>
      <c r="G13" s="347">
        <f>'2.Kiadások_részletes '!I19</f>
        <v>369554.73100000003</v>
      </c>
      <c r="H13" s="347">
        <f>'2.Kiadások_részletes '!J19</f>
        <v>417012</v>
      </c>
      <c r="I13" s="347">
        <f>'2.Kiadások_részletes '!K19</f>
        <v>369554.73100000003</v>
      </c>
      <c r="J13" s="677">
        <f>'2.Kiadások_részletes '!L19</f>
        <v>417012</v>
      </c>
    </row>
    <row r="14" spans="1:11" s="308" customFormat="1" ht="70.5" customHeight="1" x14ac:dyDescent="0.3">
      <c r="A14" s="672" t="s">
        <v>230</v>
      </c>
      <c r="B14" s="347">
        <f>'2.Bevételek_részletes'!I29</f>
        <v>0</v>
      </c>
      <c r="C14" s="347">
        <f>'2.Bevételek_részletes'!J29</f>
        <v>0</v>
      </c>
      <c r="D14" s="347">
        <f>'2.Bevételek_részletes'!K29</f>
        <v>0</v>
      </c>
      <c r="E14" s="677">
        <f>'2.Bevételek_részletes'!L28</f>
        <v>0</v>
      </c>
      <c r="F14" s="758" t="s">
        <v>211</v>
      </c>
      <c r="G14" s="347">
        <f>'2.Kiadások_részletes '!I21</f>
        <v>294833.01400000002</v>
      </c>
      <c r="H14" s="347">
        <f>'2.Kiadások_részletes '!J21</f>
        <v>25485</v>
      </c>
      <c r="I14" s="347">
        <f>'2.Kiadások_részletes '!K21</f>
        <v>294833.01400000002</v>
      </c>
      <c r="J14" s="677">
        <f>'2.Kiadások_részletes '!L21</f>
        <v>25485</v>
      </c>
    </row>
    <row r="15" spans="1:11" s="308" customFormat="1" ht="70.5" customHeight="1" x14ac:dyDescent="0.3">
      <c r="A15" s="672" t="s">
        <v>231</v>
      </c>
      <c r="B15" s="347">
        <f>'2.Bevételek_részletes'!I32</f>
        <v>112</v>
      </c>
      <c r="C15" s="347">
        <f>'2.Bevételek_részletes'!J32</f>
        <v>0</v>
      </c>
      <c r="D15" s="347">
        <f>'2.Bevételek_részletes'!K32</f>
        <v>112</v>
      </c>
      <c r="E15" s="677">
        <f>'2.Bevételek_részletes'!L32</f>
        <v>0</v>
      </c>
      <c r="F15" s="758" t="s">
        <v>212</v>
      </c>
      <c r="G15" s="347">
        <f>'2.Kiadások_részletes '!I22</f>
        <v>13695</v>
      </c>
      <c r="H15" s="347">
        <f>'2.Kiadások_részletes '!J22</f>
        <v>0</v>
      </c>
      <c r="I15" s="347">
        <f>'2.Kiadások_részletes '!K22</f>
        <v>13695</v>
      </c>
      <c r="J15" s="677">
        <f>'2.Kiadások_részletes '!L22</f>
        <v>0</v>
      </c>
    </row>
    <row r="16" spans="1:11" s="308" customFormat="1" ht="70.5" customHeight="1" x14ac:dyDescent="0.3">
      <c r="A16" s="673" t="s">
        <v>232</v>
      </c>
      <c r="B16" s="348">
        <f>SUM(B9:B15)+1</f>
        <v>2205303.4969492401</v>
      </c>
      <c r="C16" s="348">
        <f>SUM(C9:C15)+1</f>
        <v>2410359</v>
      </c>
      <c r="D16" s="348">
        <f>SUM(D9:D15)+1</f>
        <v>2205303.4969492401</v>
      </c>
      <c r="E16" s="678">
        <f>SUM(E9:E15)+1</f>
        <v>2410359</v>
      </c>
      <c r="F16" s="758" t="s">
        <v>213</v>
      </c>
      <c r="G16" s="347">
        <f>'2.Kiadások_részletes '!I25</f>
        <v>0</v>
      </c>
      <c r="H16" s="347">
        <f>'2.Kiadások_részletes '!J25</f>
        <v>0</v>
      </c>
      <c r="I16" s="347">
        <f>'2.Kiadások_részletes '!K25</f>
        <v>0</v>
      </c>
      <c r="J16" s="677">
        <f>'2.Kiadások_részletes '!L25</f>
        <v>0</v>
      </c>
    </row>
    <row r="17" spans="1:10" s="308" customFormat="1" ht="70.5" customHeight="1" x14ac:dyDescent="0.3">
      <c r="A17" s="673" t="s">
        <v>233</v>
      </c>
      <c r="B17" s="347">
        <f>'2.Bevételek_részletes'!I44</f>
        <v>1560520.91463872</v>
      </c>
      <c r="C17" s="347">
        <f>'2.Bevételek_részletes'!J44</f>
        <v>1114823</v>
      </c>
      <c r="D17" s="347">
        <f>'2.Bevételek_részletes'!K44</f>
        <v>463128</v>
      </c>
      <c r="E17" s="677">
        <f>'2.Bevételek_részletes'!L44</f>
        <v>0</v>
      </c>
      <c r="F17" s="1175" t="s">
        <v>214</v>
      </c>
      <c r="G17" s="348">
        <f>SUM(G9:G16)+1</f>
        <v>2638266.27783</v>
      </c>
      <c r="H17" s="348">
        <f>SUM(H9:H16)</f>
        <v>2409038.86</v>
      </c>
      <c r="I17" s="348">
        <f>SUM(I9:I16)+1</f>
        <v>2638266.27783</v>
      </c>
      <c r="J17" s="678">
        <f>SUM(J9:J16)</f>
        <v>2409038.86</v>
      </c>
    </row>
    <row r="18" spans="1:10" s="308" customFormat="1" ht="70.5" customHeight="1" thickBot="1" x14ac:dyDescent="0.35">
      <c r="A18" s="674" t="s">
        <v>234</v>
      </c>
      <c r="B18" s="675">
        <f>SUM(B16:B17)</f>
        <v>3765824.4115879601</v>
      </c>
      <c r="C18" s="675">
        <f>SUM(C16:C17)</f>
        <v>3525182</v>
      </c>
      <c r="D18" s="675">
        <f>SUM(D16:D17)</f>
        <v>2668431.4969492401</v>
      </c>
      <c r="E18" s="676">
        <f>SUM(E16:E17)</f>
        <v>2410359</v>
      </c>
      <c r="F18" s="673" t="s">
        <v>215</v>
      </c>
      <c r="G18" s="348">
        <f>'2.Kiadások_részletes '!I34</f>
        <v>1127557.91463872</v>
      </c>
      <c r="H18" s="348">
        <f>'2.Kiadások_részletes '!J34</f>
        <v>1116143</v>
      </c>
      <c r="I18" s="348">
        <f>'2.Kiadások_részletes '!K34</f>
        <v>30165</v>
      </c>
      <c r="J18" s="678">
        <f>'2.Kiadások_részletes '!L34</f>
        <v>1320</v>
      </c>
    </row>
    <row r="19" spans="1:10" s="308" customFormat="1" ht="70.5" customHeight="1" thickBot="1" x14ac:dyDescent="0.35">
      <c r="B19" s="309"/>
      <c r="C19" s="309"/>
      <c r="D19" s="309"/>
      <c r="E19" s="309"/>
      <c r="F19" s="679" t="s">
        <v>224</v>
      </c>
      <c r="G19" s="675">
        <f>SUM(G17:G18)</f>
        <v>3765824.19246872</v>
      </c>
      <c r="H19" s="675">
        <f>SUM(H17:H18)</f>
        <v>3525181.86</v>
      </c>
      <c r="I19" s="675">
        <f>SUM(I17:I18)</f>
        <v>2668431.27783</v>
      </c>
      <c r="J19" s="676">
        <f>SUM(J17:J18)</f>
        <v>2410358.86</v>
      </c>
    </row>
    <row r="21" spans="1:10" hidden="1" x14ac:dyDescent="0.35"/>
    <row r="22" spans="1:10" hidden="1" x14ac:dyDescent="0.35">
      <c r="B22" s="258"/>
      <c r="C22" s="258"/>
      <c r="D22" s="258"/>
      <c r="E22" s="258"/>
      <c r="G22" s="258"/>
      <c r="H22" s="258"/>
    </row>
    <row r="23" spans="1:10" hidden="1" x14ac:dyDescent="0.35">
      <c r="B23" s="258"/>
      <c r="C23" s="258"/>
      <c r="D23" s="258"/>
      <c r="E23" s="258"/>
      <c r="G23" s="258">
        <f>G19-'2.Kiadások_részletes '!I35</f>
        <v>0</v>
      </c>
      <c r="H23" s="258">
        <f>H19-'2.Kiadások_részletes '!J35</f>
        <v>0</v>
      </c>
      <c r="I23" s="258">
        <f>I19-'2.Kiadások_részletes '!K35</f>
        <v>0</v>
      </c>
      <c r="J23" s="258">
        <f>J19-'2.Kiadások_részletes '!L35</f>
        <v>0</v>
      </c>
    </row>
    <row r="24" spans="1:10" hidden="1" x14ac:dyDescent="0.35">
      <c r="B24" s="258">
        <f>B18-G19</f>
        <v>0.21911924006417394</v>
      </c>
      <c r="C24" s="258">
        <f>C18-H19</f>
        <v>0.14000000013038516</v>
      </c>
      <c r="D24" s="258">
        <f>D18-I19</f>
        <v>0.21911924006417394</v>
      </c>
      <c r="E24" s="258">
        <f>E18-J19</f>
        <v>0.14000000013038516</v>
      </c>
      <c r="G24" s="258"/>
      <c r="H24" s="258"/>
    </row>
    <row r="25" spans="1:10" hidden="1" x14ac:dyDescent="0.35">
      <c r="B25" s="258"/>
      <c r="C25" s="258"/>
      <c r="D25" s="258"/>
      <c r="E25" s="258"/>
      <c r="G25" s="258"/>
      <c r="H25" s="258"/>
    </row>
    <row r="26" spans="1:10" hidden="1" x14ac:dyDescent="0.35">
      <c r="B26" s="258"/>
      <c r="C26" s="258"/>
      <c r="D26" s="258"/>
      <c r="G26" s="258"/>
      <c r="H26" s="258"/>
    </row>
    <row r="27" spans="1:10" ht="18.600000000000001" hidden="1" thickBot="1" x14ac:dyDescent="0.4">
      <c r="B27" s="258"/>
      <c r="C27" s="258"/>
      <c r="D27" s="258"/>
      <c r="E27" s="258"/>
      <c r="I27" s="250"/>
      <c r="J27" s="1008"/>
    </row>
    <row r="28" spans="1:10" hidden="1" x14ac:dyDescent="0.35">
      <c r="A28" s="540"/>
      <c r="D28" s="258"/>
      <c r="E28" s="258"/>
    </row>
    <row r="29" spans="1:10" hidden="1" x14ac:dyDescent="0.35">
      <c r="A29" s="468"/>
    </row>
    <row r="30" spans="1:10" hidden="1" x14ac:dyDescent="0.35">
      <c r="A30" s="540"/>
      <c r="B30" s="540"/>
      <c r="C30" s="540"/>
      <c r="D30" s="258"/>
      <c r="E30" s="540"/>
      <c r="F30" s="540"/>
      <c r="G30" s="540"/>
      <c r="H30" s="540"/>
      <c r="I30" s="540"/>
    </row>
    <row r="31" spans="1:10" hidden="1" x14ac:dyDescent="0.35">
      <c r="A31" s="540"/>
      <c r="D31" s="258"/>
      <c r="E31" s="258"/>
    </row>
    <row r="32" spans="1:10" hidden="1" x14ac:dyDescent="0.35">
      <c r="A32" s="468"/>
      <c r="B32" s="468"/>
      <c r="C32" s="468"/>
      <c r="D32" s="258"/>
      <c r="E32" s="468"/>
      <c r="F32" s="468"/>
      <c r="G32" s="468"/>
      <c r="H32" s="468"/>
      <c r="I32" s="468"/>
    </row>
    <row r="33" spans="1:5" hidden="1" x14ac:dyDescent="0.35">
      <c r="A33" s="540"/>
      <c r="D33" s="258"/>
    </row>
    <row r="34" spans="1:5" hidden="1" x14ac:dyDescent="0.35">
      <c r="B34" s="258"/>
      <c r="C34" s="258"/>
      <c r="D34" s="258"/>
      <c r="E34" s="258"/>
    </row>
    <row r="35" spans="1:5" hidden="1" x14ac:dyDescent="0.35"/>
    <row r="36" spans="1:5" hidden="1" x14ac:dyDescent="0.35"/>
    <row r="37" spans="1:5" hidden="1" x14ac:dyDescent="0.35"/>
    <row r="38" spans="1:5" hidden="1" x14ac:dyDescent="0.35"/>
    <row r="39" spans="1:5" hidden="1" x14ac:dyDescent="0.35"/>
    <row r="42" spans="1:5" x14ac:dyDescent="0.35">
      <c r="D42" s="258"/>
      <c r="E42" s="258"/>
    </row>
    <row r="43" spans="1:5" x14ac:dyDescent="0.35">
      <c r="B43" s="258"/>
      <c r="C43" s="258"/>
      <c r="D43" s="258"/>
      <c r="E43" s="258"/>
    </row>
  </sheetData>
  <mergeCells count="5">
    <mergeCell ref="F7:J7"/>
    <mergeCell ref="A7:E7"/>
    <mergeCell ref="A1:J1"/>
    <mergeCell ref="A2:J2"/>
    <mergeCell ref="A3:J3"/>
  </mergeCells>
  <phoneticPr fontId="57" type="noConversion"/>
  <hyperlinks>
    <hyperlink ref="K1" location="Munka1!A1" display="Munka1!A1" xr:uid="{00000000-0004-0000-0200-000000000000}"/>
  </hyperlinks>
  <pageMargins left="0.26" right="0.2" top="0.35" bottom="0.74803149606299213" header="0.31496062992125984" footer="0.31496062992125984"/>
  <pageSetup paperSize="9" scale="44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unka22">
    <tabColor rgb="FF00B050"/>
    <pageSetUpPr fitToPage="1"/>
  </sheetPr>
  <dimension ref="A1:N50"/>
  <sheetViews>
    <sheetView view="pageBreakPreview" topLeftCell="A13" zoomScale="55" zoomScaleSheetLayoutView="55" workbookViewId="0">
      <selection activeCell="L62" sqref="L62"/>
    </sheetView>
  </sheetViews>
  <sheetFormatPr defaultColWidth="9.109375" defaultRowHeight="14.4" x14ac:dyDescent="0.3"/>
  <cols>
    <col min="1" max="1" width="67.88671875" style="225" customWidth="1"/>
    <col min="2" max="2" width="8.44140625" style="225" customWidth="1"/>
    <col min="3" max="3" width="16.44140625" style="225" bestFit="1" customWidth="1"/>
    <col min="4" max="6" width="16.44140625" style="225" customWidth="1"/>
    <col min="7" max="7" width="75.88671875" style="225" bestFit="1" customWidth="1"/>
    <col min="8" max="8" width="8.88671875" style="225" bestFit="1" customWidth="1"/>
    <col min="9" max="9" width="14.88671875" style="225" bestFit="1" customWidth="1"/>
    <col min="10" max="10" width="14.88671875" style="225" customWidth="1"/>
    <col min="11" max="11" width="15.6640625" style="225" customWidth="1"/>
    <col min="12" max="12" width="17.5546875" style="225" customWidth="1"/>
    <col min="13" max="22" width="0" style="225" hidden="1" customWidth="1"/>
    <col min="23" max="16384" width="9.109375" style="225"/>
  </cols>
  <sheetData>
    <row r="1" spans="1:14" ht="20.399999999999999" x14ac:dyDescent="0.35">
      <c r="A1" s="1913" t="str">
        <f>Tartalomjegyzék_2021!A1</f>
        <v>Pilisvörösvár Város Önkormányzata Képviselő-testületének 1/2021. (II. 15.) önkormányzati rendelete</v>
      </c>
      <c r="B1" s="1913"/>
      <c r="C1" s="1913"/>
      <c r="D1" s="1913"/>
      <c r="E1" s="1913"/>
      <c r="F1" s="1913"/>
      <c r="G1" s="1913"/>
      <c r="H1" s="1913"/>
      <c r="I1" s="1913"/>
      <c r="J1" s="1913"/>
      <c r="K1" s="1913"/>
      <c r="L1" s="1913"/>
      <c r="M1" s="1913"/>
      <c r="N1" s="1362" t="s">
        <v>758</v>
      </c>
    </row>
    <row r="2" spans="1:14" ht="20.399999999999999" x14ac:dyDescent="0.35">
      <c r="A2" s="1913" t="str">
        <f>Tartalomjegyzék_2021!A2</f>
        <v>az Önkormányzat  2021. évi költségvetéséről</v>
      </c>
      <c r="B2" s="1913"/>
      <c r="C2" s="1913"/>
      <c r="D2" s="1913"/>
      <c r="E2" s="1913"/>
      <c r="F2" s="1913"/>
      <c r="G2" s="1913"/>
      <c r="H2" s="1913"/>
      <c r="I2" s="1913"/>
      <c r="J2" s="1913"/>
      <c r="K2" s="1913"/>
      <c r="L2" s="1913"/>
      <c r="M2" s="1913"/>
    </row>
    <row r="3" spans="1:14" ht="20.399999999999999" x14ac:dyDescent="0.35">
      <c r="A3" s="1914"/>
      <c r="B3" s="1914"/>
      <c r="C3" s="1914"/>
      <c r="D3" s="1914"/>
      <c r="E3" s="1914"/>
      <c r="F3" s="1914"/>
      <c r="G3" s="1914"/>
      <c r="H3" s="1914"/>
      <c r="I3" s="1914"/>
      <c r="J3" s="1914"/>
      <c r="K3" s="1914"/>
      <c r="L3" s="1914"/>
      <c r="M3" s="1914"/>
    </row>
    <row r="4" spans="1:14" ht="20.399999999999999" x14ac:dyDescent="0.35">
      <c r="A4" s="1914" t="str">
        <f>Tartalomjegyzék_2021!B34</f>
        <v>Pilisvörösvár Város Önkormányzata költségvetési mérlege</v>
      </c>
      <c r="B4" s="1914"/>
      <c r="C4" s="1914"/>
      <c r="D4" s="1914"/>
      <c r="E4" s="1914"/>
      <c r="F4" s="1914"/>
      <c r="G4" s="1914"/>
      <c r="H4" s="1914"/>
      <c r="I4" s="1914"/>
      <c r="J4" s="1914"/>
      <c r="K4" s="1914"/>
      <c r="L4" s="1914"/>
      <c r="M4" s="1914"/>
    </row>
    <row r="5" spans="1:14" ht="21" x14ac:dyDescent="0.4">
      <c r="A5" s="226"/>
      <c r="B5" s="226"/>
      <c r="C5" s="226"/>
      <c r="D5" s="226"/>
      <c r="E5" s="226"/>
      <c r="F5" s="226"/>
      <c r="G5" s="226"/>
      <c r="H5" s="226"/>
      <c r="I5" s="226"/>
      <c r="J5" s="226"/>
      <c r="L5" s="716" t="s">
        <v>650</v>
      </c>
    </row>
    <row r="6" spans="1:14" ht="21.6" thickBot="1" x14ac:dyDescent="0.45">
      <c r="A6" s="227"/>
      <c r="B6" s="226"/>
      <c r="C6" s="226"/>
      <c r="D6" s="226"/>
      <c r="E6" s="226"/>
      <c r="F6" s="226"/>
      <c r="G6" s="226"/>
      <c r="H6" s="226"/>
      <c r="I6" s="226"/>
      <c r="J6" s="226"/>
      <c r="L6" s="716" t="s">
        <v>201</v>
      </c>
    </row>
    <row r="7" spans="1:14" s="1285" customFormat="1" ht="52.8" thickBot="1" x14ac:dyDescent="0.35">
      <c r="A7" s="1284" t="s">
        <v>241</v>
      </c>
      <c r="B7" s="77" t="s">
        <v>242</v>
      </c>
      <c r="C7" s="1412" t="s">
        <v>843</v>
      </c>
      <c r="D7" s="1414" t="s">
        <v>844</v>
      </c>
      <c r="E7" s="1414" t="s">
        <v>845</v>
      </c>
      <c r="F7" s="1413" t="s">
        <v>846</v>
      </c>
      <c r="G7" s="1009" t="s">
        <v>241</v>
      </c>
      <c r="H7" s="477" t="s">
        <v>165</v>
      </c>
      <c r="I7" s="1412" t="s">
        <v>843</v>
      </c>
      <c r="J7" s="1414" t="s">
        <v>844</v>
      </c>
      <c r="K7" s="1414" t="s">
        <v>845</v>
      </c>
      <c r="L7" s="1413" t="s">
        <v>847</v>
      </c>
    </row>
    <row r="8" spans="1:14" s="1149" customFormat="1" ht="29.25" customHeight="1" x14ac:dyDescent="0.3">
      <c r="A8" s="228" t="s">
        <v>252</v>
      </c>
      <c r="B8" s="229" t="s">
        <v>253</v>
      </c>
      <c r="C8" s="1145">
        <v>772252</v>
      </c>
      <c r="D8" s="1145">
        <v>831992</v>
      </c>
      <c r="E8" s="1145">
        <f>'2.Bevételek_részletes'!J8</f>
        <v>989084</v>
      </c>
      <c r="F8" s="1146">
        <f>'2.Bevételek_részletes'!L8</f>
        <v>989084</v>
      </c>
      <c r="G8" s="1010" t="s">
        <v>167</v>
      </c>
      <c r="H8" s="476" t="s">
        <v>166</v>
      </c>
      <c r="I8" s="1147">
        <v>904951</v>
      </c>
      <c r="J8" s="1147">
        <v>882484</v>
      </c>
      <c r="K8" s="1147">
        <f>'2.Kiadások_részletes '!J11</f>
        <v>1046148</v>
      </c>
      <c r="L8" s="1148">
        <f>'2.Kiadások_részletes '!L11</f>
        <v>1046148</v>
      </c>
    </row>
    <row r="9" spans="1:14" s="1149" customFormat="1" ht="29.25" customHeight="1" x14ac:dyDescent="0.3">
      <c r="A9" s="231" t="s">
        <v>476</v>
      </c>
      <c r="B9" s="229" t="s">
        <v>477</v>
      </c>
      <c r="C9" s="1145">
        <v>5526</v>
      </c>
      <c r="D9" s="1145">
        <v>5151</v>
      </c>
      <c r="E9" s="1145">
        <v>0</v>
      </c>
      <c r="F9" s="1146">
        <v>0</v>
      </c>
      <c r="G9" s="1011" t="s">
        <v>169</v>
      </c>
      <c r="H9" s="230" t="s">
        <v>168</v>
      </c>
      <c r="I9" s="1150">
        <v>174382</v>
      </c>
      <c r="J9" s="1150">
        <v>147241</v>
      </c>
      <c r="K9" s="1147">
        <f>'2.Kiadások_részletes '!J12</f>
        <v>163531</v>
      </c>
      <c r="L9" s="1148">
        <f>'2.Kiadások_részletes '!L12</f>
        <v>163531</v>
      </c>
    </row>
    <row r="10" spans="1:14" s="1149" customFormat="1" ht="33.75" customHeight="1" x14ac:dyDescent="0.3">
      <c r="A10" s="231" t="s">
        <v>254</v>
      </c>
      <c r="B10" s="229" t="s">
        <v>255</v>
      </c>
      <c r="C10" s="1145">
        <v>385024</v>
      </c>
      <c r="D10" s="1145">
        <v>401611</v>
      </c>
      <c r="E10" s="1145">
        <f>'2.Bevételek_részletes'!J9</f>
        <v>527682</v>
      </c>
      <c r="F10" s="1146">
        <f>'2.Bevételek_részletes'!L9</f>
        <v>527682</v>
      </c>
      <c r="G10" s="1011" t="s">
        <v>171</v>
      </c>
      <c r="H10" s="230" t="s">
        <v>170</v>
      </c>
      <c r="I10" s="1150">
        <v>728134</v>
      </c>
      <c r="J10" s="1150">
        <v>608975</v>
      </c>
      <c r="K10" s="1147">
        <f>'2.Kiadások_részletes '!J13</f>
        <v>739430.86</v>
      </c>
      <c r="L10" s="1148">
        <f>'2.Kiadások_részletes '!L13</f>
        <v>739430.86</v>
      </c>
    </row>
    <row r="11" spans="1:14" s="1149" customFormat="1" ht="29.25" customHeight="1" x14ac:dyDescent="0.3">
      <c r="A11" s="232" t="s">
        <v>256</v>
      </c>
      <c r="B11" s="233" t="s">
        <v>257</v>
      </c>
      <c r="C11" s="1151">
        <f>SUM(C8:C10)</f>
        <v>1162802</v>
      </c>
      <c r="D11" s="1151">
        <f>SUM(D8:D10)</f>
        <v>1238754</v>
      </c>
      <c r="E11" s="1151">
        <f>SUM(E8:E10)</f>
        <v>1516766</v>
      </c>
      <c r="F11" s="1152">
        <f>SUM(F8:F10)</f>
        <v>1516766</v>
      </c>
      <c r="G11" s="1012" t="s">
        <v>23</v>
      </c>
      <c r="H11" s="230" t="s">
        <v>172</v>
      </c>
      <c r="I11" s="1150">
        <v>15194</v>
      </c>
      <c r="J11" s="1150">
        <v>10620</v>
      </c>
      <c r="K11" s="1147">
        <f>'2.Kiadások_részletes '!J14</f>
        <v>17432</v>
      </c>
      <c r="L11" s="1148">
        <f>'2.Kiadások_részletes '!L14</f>
        <v>17432</v>
      </c>
    </row>
    <row r="12" spans="1:14" s="1149" customFormat="1" ht="29.25" customHeight="1" x14ac:dyDescent="0.3">
      <c r="A12" s="231" t="s">
        <v>478</v>
      </c>
      <c r="B12" s="229" t="s">
        <v>113</v>
      </c>
      <c r="C12" s="1153">
        <v>82251</v>
      </c>
      <c r="D12" s="1153">
        <v>81946</v>
      </c>
      <c r="E12" s="1153">
        <f>'2.Bevételek_részletes'!J13</f>
        <v>82000</v>
      </c>
      <c r="F12" s="1154">
        <f>'2.Bevételek_részletes'!L13</f>
        <v>82000</v>
      </c>
      <c r="G12" s="1013" t="s">
        <v>97</v>
      </c>
      <c r="H12" s="234" t="s">
        <v>96</v>
      </c>
      <c r="I12" s="1144">
        <v>7682</v>
      </c>
      <c r="J12" s="1144">
        <v>7200</v>
      </c>
      <c r="K12" s="1144">
        <f>'2.Kiadások_részletes '!J15</f>
        <v>110362</v>
      </c>
      <c r="L12" s="1154">
        <f>'2.Kiadások_részletes '!L15</f>
        <v>110362</v>
      </c>
    </row>
    <row r="13" spans="1:14" s="1149" customFormat="1" ht="29.25" customHeight="1" x14ac:dyDescent="0.3">
      <c r="A13" s="231" t="s">
        <v>479</v>
      </c>
      <c r="B13" s="229" t="s">
        <v>82</v>
      </c>
      <c r="C13" s="1153">
        <v>664126</v>
      </c>
      <c r="D13" s="1153">
        <v>789489</v>
      </c>
      <c r="E13" s="1153">
        <f>'2.Bevételek_részletes'!J14</f>
        <v>489135</v>
      </c>
      <c r="F13" s="1154">
        <f>'2.Bevételek_részletes'!L14</f>
        <v>489135</v>
      </c>
      <c r="G13" s="1013" t="s">
        <v>174</v>
      </c>
      <c r="H13" s="234" t="s">
        <v>173</v>
      </c>
      <c r="I13" s="1144">
        <v>185910</v>
      </c>
      <c r="J13" s="1144">
        <v>201647</v>
      </c>
      <c r="K13" s="1144">
        <f>'2.Kiadások_részletes '!J16</f>
        <v>179719</v>
      </c>
      <c r="L13" s="1154">
        <f>'2.Kiadások_részletes '!L16</f>
        <v>179719</v>
      </c>
      <c r="N13" s="1149">
        <f>+(162060040+405504754-562682380)/1000</f>
        <v>4882.4139999999998</v>
      </c>
    </row>
    <row r="14" spans="1:14" s="1149" customFormat="1" ht="29.25" customHeight="1" x14ac:dyDescent="0.3">
      <c r="A14" s="231" t="s">
        <v>119</v>
      </c>
      <c r="B14" s="229" t="s">
        <v>263</v>
      </c>
      <c r="C14" s="1145">
        <v>2574</v>
      </c>
      <c r="D14" s="1145">
        <v>5314</v>
      </c>
      <c r="E14" s="1153">
        <f>'2.Bevételek_részletes'!J15</f>
        <v>2500</v>
      </c>
      <c r="F14" s="1154">
        <f>'2.Bevételek_részletes'!L15</f>
        <v>2500</v>
      </c>
      <c r="G14" s="1013" t="s">
        <v>175</v>
      </c>
      <c r="H14" s="234" t="s">
        <v>176</v>
      </c>
      <c r="I14" s="1144">
        <v>20842</v>
      </c>
      <c r="J14" s="1144">
        <v>36096</v>
      </c>
      <c r="K14" s="1144">
        <f>'2.Kiadások_részletes '!J17</f>
        <v>66430</v>
      </c>
      <c r="L14" s="1154">
        <f>'2.Kiadások_részletes '!L17</f>
        <v>66430</v>
      </c>
    </row>
    <row r="15" spans="1:14" s="1149" customFormat="1" ht="29.25" customHeight="1" x14ac:dyDescent="0.3">
      <c r="A15" s="232" t="s">
        <v>264</v>
      </c>
      <c r="B15" s="233" t="s">
        <v>265</v>
      </c>
      <c r="C15" s="1151">
        <f>SUM(C12:C14)</f>
        <v>748951</v>
      </c>
      <c r="D15" s="1151">
        <f>SUM(D12:D14)</f>
        <v>876749</v>
      </c>
      <c r="E15" s="1151">
        <f>SUM(E12:E14)</f>
        <v>573635</v>
      </c>
      <c r="F15" s="1152">
        <f>SUM(F12:F14)</f>
        <v>573635</v>
      </c>
      <c r="G15" s="1014" t="s">
        <v>108</v>
      </c>
      <c r="H15" s="234" t="s">
        <v>544</v>
      </c>
      <c r="I15" s="1144">
        <v>0</v>
      </c>
      <c r="J15" s="1144">
        <v>0</v>
      </c>
      <c r="K15" s="1144">
        <f>'2.Kiadások_részletes '!J18</f>
        <v>60501</v>
      </c>
      <c r="L15" s="1154">
        <f>'2.Kiadások_részletes '!L18</f>
        <v>60501</v>
      </c>
    </row>
    <row r="16" spans="1:14" s="1149" customFormat="1" ht="29.25" customHeight="1" x14ac:dyDescent="0.3">
      <c r="A16" s="235" t="s">
        <v>278</v>
      </c>
      <c r="B16" s="233" t="s">
        <v>279</v>
      </c>
      <c r="C16" s="1156">
        <v>320332</v>
      </c>
      <c r="D16" s="1156">
        <v>257232</v>
      </c>
      <c r="E16" s="1156">
        <f>'2.Bevételek_részletes'!J24</f>
        <v>261558</v>
      </c>
      <c r="F16" s="1157">
        <f>'2.Bevételek_részletes'!L24</f>
        <v>261558</v>
      </c>
      <c r="G16" s="1012" t="s">
        <v>180</v>
      </c>
      <c r="H16" s="230" t="s">
        <v>179</v>
      </c>
      <c r="I16" s="1150">
        <f>SUM(I12:I15)</f>
        <v>214434</v>
      </c>
      <c r="J16" s="1150">
        <v>244942</v>
      </c>
      <c r="K16" s="1150">
        <f>SUM(K12:K15)</f>
        <v>417012</v>
      </c>
      <c r="L16" s="1157">
        <f>SUM(L12:L15)</f>
        <v>417012</v>
      </c>
    </row>
    <row r="17" spans="1:12" s="1149" customFormat="1" ht="29.25" customHeight="1" x14ac:dyDescent="0.3">
      <c r="A17" s="232" t="s">
        <v>288</v>
      </c>
      <c r="B17" s="233" t="s">
        <v>289</v>
      </c>
      <c r="C17" s="1156">
        <v>3577</v>
      </c>
      <c r="D17" s="1156">
        <v>2000</v>
      </c>
      <c r="E17" s="1156">
        <f>'2.Bevételek_részletes'!J29</f>
        <v>0</v>
      </c>
      <c r="F17" s="1157">
        <f>'2.Bevételek_részletes'!L29</f>
        <v>0</v>
      </c>
      <c r="G17" s="1158" t="s">
        <v>202</v>
      </c>
      <c r="H17" s="242"/>
      <c r="I17" s="1159">
        <f>SUM(I8,I9,I10,I11,I16)</f>
        <v>2037095</v>
      </c>
      <c r="J17" s="1159">
        <f>SUM(J8,J9,J10,J11,J16)</f>
        <v>1894262</v>
      </c>
      <c r="K17" s="1159">
        <f>SUM(K8,K9,K10,K11,K16)</f>
        <v>2383553.86</v>
      </c>
      <c r="L17" s="1160">
        <f>SUM(L8,L9,L10,L11,L16)</f>
        <v>2383553.86</v>
      </c>
    </row>
    <row r="18" spans="1:12" s="1149" customFormat="1" ht="29.25" customHeight="1" x14ac:dyDescent="0.3">
      <c r="A18" s="1161" t="s">
        <v>71</v>
      </c>
      <c r="B18" s="243"/>
      <c r="C18" s="1159">
        <f>SUM(C11,C15,C16,C17)</f>
        <v>2235662</v>
      </c>
      <c r="D18" s="1159">
        <f>SUM(D11,D15,D16,D17)</f>
        <v>2374735</v>
      </c>
      <c r="E18" s="1159">
        <f>SUM(E11,E15,E16,E17)</f>
        <v>2351959</v>
      </c>
      <c r="F18" s="1160">
        <f>SUM(F11,F15,F16,F17)</f>
        <v>2351959</v>
      </c>
      <c r="G18" s="1015" t="s">
        <v>321</v>
      </c>
      <c r="H18" s="230" t="s">
        <v>181</v>
      </c>
      <c r="I18" s="1144">
        <v>247302</v>
      </c>
      <c r="J18" s="1144">
        <v>278832</v>
      </c>
      <c r="K18" s="1144">
        <f>'2.Kiadások_részletes '!J21</f>
        <v>25485</v>
      </c>
      <c r="L18" s="1154">
        <f>'2.Kiadások_részletes '!L21</f>
        <v>25485</v>
      </c>
    </row>
    <row r="19" spans="1:12" s="1149" customFormat="1" ht="29.25" customHeight="1" x14ac:dyDescent="0.3">
      <c r="A19" s="232" t="s">
        <v>260</v>
      </c>
      <c r="B19" s="233" t="s">
        <v>261</v>
      </c>
      <c r="C19" s="1145">
        <v>130408</v>
      </c>
      <c r="D19" s="1145">
        <v>30597</v>
      </c>
      <c r="E19" s="1145">
        <f>'2.Bevételek_részletes'!J12</f>
        <v>0</v>
      </c>
      <c r="F19" s="1146">
        <f>'2.Bevételek_részletes'!L12</f>
        <v>0</v>
      </c>
      <c r="G19" s="1012" t="s">
        <v>183</v>
      </c>
      <c r="H19" s="230" t="s">
        <v>182</v>
      </c>
      <c r="I19" s="1144">
        <v>114029</v>
      </c>
      <c r="J19" s="1144">
        <v>2050</v>
      </c>
      <c r="K19" s="1144">
        <f>'2.Kiadások_részletes '!J22</f>
        <v>0</v>
      </c>
      <c r="L19" s="1154">
        <f>'2.Kiadások_részletes '!L22</f>
        <v>0</v>
      </c>
    </row>
    <row r="20" spans="1:12" s="1149" customFormat="1" ht="29.25" customHeight="1" x14ac:dyDescent="0.3">
      <c r="A20" s="232" t="s">
        <v>284</v>
      </c>
      <c r="B20" s="233" t="s">
        <v>285</v>
      </c>
      <c r="C20" s="1145">
        <v>112517</v>
      </c>
      <c r="D20" s="1145">
        <v>21102</v>
      </c>
      <c r="E20" s="1145">
        <f>'2.Bevételek_részletes'!J27</f>
        <v>58399</v>
      </c>
      <c r="F20" s="1146">
        <f>'2.Bevételek_részletes'!L27</f>
        <v>58399</v>
      </c>
      <c r="G20" s="1012" t="s">
        <v>187</v>
      </c>
      <c r="H20" s="230" t="s">
        <v>186</v>
      </c>
      <c r="I20" s="1144">
        <v>0</v>
      </c>
      <c r="J20" s="1144">
        <v>35525</v>
      </c>
      <c r="K20" s="1144">
        <f>'2.Kiadások_részletes '!J25</f>
        <v>0</v>
      </c>
      <c r="L20" s="1154">
        <f>'2.Kiadások_részletes '!L25</f>
        <v>0</v>
      </c>
    </row>
    <row r="21" spans="1:12" s="1149" customFormat="1" ht="29.25" customHeight="1" x14ac:dyDescent="0.3">
      <c r="A21" s="232" t="s">
        <v>294</v>
      </c>
      <c r="B21" s="233" t="s">
        <v>295</v>
      </c>
      <c r="C21" s="1162">
        <v>7037</v>
      </c>
      <c r="D21" s="1162">
        <v>4651</v>
      </c>
      <c r="E21" s="1162">
        <f>'2.Bevételek_részletes'!J32</f>
        <v>0</v>
      </c>
      <c r="F21" s="1163">
        <f>'2.Bevételek_részletes'!L32</f>
        <v>0</v>
      </c>
      <c r="G21" s="1158" t="s">
        <v>203</v>
      </c>
      <c r="H21" s="242"/>
      <c r="I21" s="1159">
        <f>SUM(I18:I20)</f>
        <v>361331</v>
      </c>
      <c r="J21" s="1159">
        <f>SUM(J18:J20)</f>
        <v>316407</v>
      </c>
      <c r="K21" s="1159">
        <f>SUM(K18:K20)</f>
        <v>25485</v>
      </c>
      <c r="L21" s="1160">
        <f>SUM(L18:L20)</f>
        <v>25485</v>
      </c>
    </row>
    <row r="22" spans="1:12" s="1149" customFormat="1" ht="29.25" customHeight="1" x14ac:dyDescent="0.3">
      <c r="A22" s="1161" t="s">
        <v>72</v>
      </c>
      <c r="B22" s="243"/>
      <c r="C22" s="1159">
        <f>SUM(C19:C21)</f>
        <v>249962</v>
      </c>
      <c r="D22" s="1159">
        <f>SUM(D19:D21)</f>
        <v>56350</v>
      </c>
      <c r="E22" s="1159">
        <f>SUM(E19:E21)</f>
        <v>58399</v>
      </c>
      <c r="F22" s="1160">
        <f>SUM(F19:F21)</f>
        <v>58399</v>
      </c>
      <c r="G22" s="1016" t="s">
        <v>189</v>
      </c>
      <c r="H22" s="248" t="s">
        <v>188</v>
      </c>
      <c r="I22" s="1164">
        <f>SUM(I17,I21)</f>
        <v>2398426</v>
      </c>
      <c r="J22" s="1164">
        <f>SUM(J17,J21)</f>
        <v>2210669</v>
      </c>
      <c r="K22" s="1164">
        <f>SUM(K17,K21)</f>
        <v>2409038.86</v>
      </c>
      <c r="L22" s="1165">
        <f>SUM(L17,L21)</f>
        <v>2409038.86</v>
      </c>
    </row>
    <row r="23" spans="1:12" s="1149" customFormat="1" ht="29.25" customHeight="1" x14ac:dyDescent="0.3">
      <c r="A23" s="244" t="s">
        <v>296</v>
      </c>
      <c r="B23" s="245" t="s">
        <v>297</v>
      </c>
      <c r="C23" s="1164">
        <f>SUM(C18,C22)</f>
        <v>2485624</v>
      </c>
      <c r="D23" s="1164">
        <f>SUM(D18,D22)</f>
        <v>2431085</v>
      </c>
      <c r="E23" s="1164">
        <f>SUM(E18,E22)+1</f>
        <v>2410359</v>
      </c>
      <c r="F23" s="1165">
        <f>SUM(F18,F22)+1</f>
        <v>2410359</v>
      </c>
      <c r="G23" s="1017" t="s">
        <v>191</v>
      </c>
      <c r="H23" s="236" t="s">
        <v>190</v>
      </c>
      <c r="I23" s="1166">
        <v>1320</v>
      </c>
      <c r="J23" s="1166">
        <v>1320</v>
      </c>
      <c r="K23" s="1166">
        <f>'2.Kiadások_részletes '!J30</f>
        <v>1320</v>
      </c>
      <c r="L23" s="1163">
        <f>'2.Kiadások_részletes '!L30</f>
        <v>1320</v>
      </c>
    </row>
    <row r="24" spans="1:12" s="1149" customFormat="1" ht="29.25" customHeight="1" x14ac:dyDescent="0.3">
      <c r="A24" s="237" t="s">
        <v>302</v>
      </c>
      <c r="B24" s="236" t="s">
        <v>303</v>
      </c>
      <c r="C24" s="1145"/>
      <c r="D24" s="1145">
        <v>0</v>
      </c>
      <c r="E24" s="1145">
        <f>'2.Bevételek_részletes'!J38</f>
        <v>0</v>
      </c>
      <c r="F24" s="1146">
        <f>'2.Bevételek_részletes'!L38</f>
        <v>0</v>
      </c>
      <c r="G24" s="1018" t="s">
        <v>193</v>
      </c>
      <c r="H24" s="236" t="s">
        <v>192</v>
      </c>
      <c r="I24" s="1166">
        <v>0</v>
      </c>
      <c r="J24" s="1166">
        <v>0</v>
      </c>
      <c r="K24" s="1166">
        <v>0</v>
      </c>
      <c r="L24" s="1163">
        <v>0</v>
      </c>
    </row>
    <row r="25" spans="1:12" s="1149" customFormat="1" ht="29.25" customHeight="1" x14ac:dyDescent="0.3">
      <c r="A25" s="238" t="s">
        <v>471</v>
      </c>
      <c r="B25" s="236" t="s">
        <v>472</v>
      </c>
      <c r="C25" s="1145">
        <v>0</v>
      </c>
      <c r="D25" s="1145">
        <v>0</v>
      </c>
      <c r="E25" s="1145">
        <f>'2.Bevételek_részletes'!L39</f>
        <v>0</v>
      </c>
      <c r="F25" s="1146">
        <f>'2.Bevételek_részletes'!L39</f>
        <v>0</v>
      </c>
      <c r="G25" s="1018" t="s">
        <v>513</v>
      </c>
      <c r="H25" s="236" t="s">
        <v>514</v>
      </c>
      <c r="I25" s="1166">
        <v>23246</v>
      </c>
      <c r="J25" s="1166">
        <v>28845</v>
      </c>
      <c r="K25" s="1166">
        <f>'2.Kiadások_részletes '!J32</f>
        <v>0</v>
      </c>
      <c r="L25" s="1163">
        <f>'2.Kiadások_részletes '!L32</f>
        <v>0</v>
      </c>
    </row>
    <row r="26" spans="1:12" s="1149" customFormat="1" ht="29.25" customHeight="1" x14ac:dyDescent="0.3">
      <c r="A26" s="231" t="s">
        <v>307</v>
      </c>
      <c r="B26" s="236" t="s">
        <v>308</v>
      </c>
      <c r="C26" s="1145">
        <v>493568</v>
      </c>
      <c r="D26" s="1145">
        <v>521927</v>
      </c>
      <c r="E26" s="1145">
        <f>'2.Bevételek_részletes'!J42</f>
        <v>0</v>
      </c>
      <c r="F26" s="1146">
        <f>'2.Bevételek_részletes'!L42</f>
        <v>0</v>
      </c>
      <c r="G26" s="1018" t="s">
        <v>205</v>
      </c>
      <c r="H26" s="236" t="s">
        <v>204</v>
      </c>
      <c r="I26" s="239">
        <v>998436</v>
      </c>
      <c r="J26" s="239">
        <v>964014</v>
      </c>
      <c r="K26" s="239">
        <f>'2.Kiadások_részletes '!J33</f>
        <v>1114823</v>
      </c>
      <c r="L26" s="1005">
        <f>'2.Kiadások_részletes '!L33</f>
        <v>0</v>
      </c>
    </row>
    <row r="27" spans="1:12" s="1149" customFormat="1" ht="29.25" customHeight="1" x14ac:dyDescent="0.3">
      <c r="A27" s="231" t="s">
        <v>515</v>
      </c>
      <c r="B27" s="236" t="s">
        <v>516</v>
      </c>
      <c r="C27" s="1145">
        <v>29456</v>
      </c>
      <c r="D27" s="1145">
        <v>39563</v>
      </c>
      <c r="E27" s="1145">
        <v>0</v>
      </c>
      <c r="F27" s="1146">
        <v>0</v>
      </c>
      <c r="G27" s="1019" t="s">
        <v>195</v>
      </c>
      <c r="H27" s="240" t="s">
        <v>194</v>
      </c>
      <c r="I27" s="380">
        <f>SUM(I23:I26)</f>
        <v>1023002</v>
      </c>
      <c r="J27" s="380">
        <f>SUM(J23:J26)</f>
        <v>994179</v>
      </c>
      <c r="K27" s="380">
        <f>SUM(K23:K26)</f>
        <v>1116143</v>
      </c>
      <c r="L27" s="1006">
        <f>SUM(L23:L26)</f>
        <v>1320</v>
      </c>
    </row>
    <row r="28" spans="1:12" s="1149" customFormat="1" ht="29.25" customHeight="1" x14ac:dyDescent="0.3">
      <c r="A28" s="231" t="s">
        <v>355</v>
      </c>
      <c r="B28" s="236" t="s">
        <v>310</v>
      </c>
      <c r="C28" s="1145">
        <v>998436</v>
      </c>
      <c r="D28" s="1145">
        <v>964014</v>
      </c>
      <c r="E28" s="1145">
        <f>'2.Bevételek_részletes'!J43</f>
        <v>1114823</v>
      </c>
      <c r="F28" s="1146">
        <f>'2.Bevételek_részletes'!L43</f>
        <v>0</v>
      </c>
      <c r="G28" s="1019" t="s">
        <v>197</v>
      </c>
      <c r="H28" s="240" t="s">
        <v>196</v>
      </c>
      <c r="I28" s="239">
        <v>0</v>
      </c>
      <c r="J28" s="239">
        <v>0</v>
      </c>
      <c r="K28" s="239">
        <v>0</v>
      </c>
      <c r="L28" s="1005">
        <v>0</v>
      </c>
    </row>
    <row r="29" spans="1:12" s="1149" customFormat="1" ht="29.25" customHeight="1" x14ac:dyDescent="0.3">
      <c r="A29" s="235" t="s">
        <v>313</v>
      </c>
      <c r="B29" s="240" t="s">
        <v>314</v>
      </c>
      <c r="C29" s="1151">
        <f>SUM(C24:C28)</f>
        <v>1521460</v>
      </c>
      <c r="D29" s="1151">
        <f>SUM(D24:D28)</f>
        <v>1525504</v>
      </c>
      <c r="E29" s="1151">
        <f>SUM(E24:E28)</f>
        <v>1114823</v>
      </c>
      <c r="F29" s="1152">
        <f>SUM(F24:F28)</f>
        <v>0</v>
      </c>
      <c r="G29" s="1020" t="s">
        <v>26</v>
      </c>
      <c r="H29" s="247" t="s">
        <v>200</v>
      </c>
      <c r="I29" s="249">
        <f>SUM(I27:I28)</f>
        <v>1023002</v>
      </c>
      <c r="J29" s="249">
        <f>SUM(J27:J28)</f>
        <v>994179</v>
      </c>
      <c r="K29" s="249">
        <f>SUM(K27:K28)</f>
        <v>1116143</v>
      </c>
      <c r="L29" s="1007">
        <f>SUM(L27:L28)</f>
        <v>1320</v>
      </c>
    </row>
    <row r="30" spans="1:12" s="1149" customFormat="1" ht="29.25" customHeight="1" thickBot="1" x14ac:dyDescent="0.35">
      <c r="A30" s="251" t="s">
        <v>473</v>
      </c>
      <c r="B30" s="240" t="s">
        <v>474</v>
      </c>
      <c r="C30" s="1155">
        <v>0</v>
      </c>
      <c r="D30" s="1155">
        <v>0</v>
      </c>
      <c r="E30" s="1155">
        <v>0</v>
      </c>
      <c r="F30" s="1146">
        <v>0</v>
      </c>
      <c r="G30" s="1167" t="s">
        <v>224</v>
      </c>
      <c r="H30" s="1168"/>
      <c r="I30" s="250">
        <f>SUM(I22,I29)</f>
        <v>3421428</v>
      </c>
      <c r="J30" s="250">
        <f>SUM(J22,J29)</f>
        <v>3204848</v>
      </c>
      <c r="K30" s="250">
        <f>SUM(K22,K29)</f>
        <v>3525181.86</v>
      </c>
      <c r="L30" s="1008">
        <f>SUM(L22,L29)</f>
        <v>2410358.86</v>
      </c>
    </row>
    <row r="31" spans="1:12" s="1149" customFormat="1" ht="35.25" customHeight="1" x14ac:dyDescent="0.3">
      <c r="A31" s="235" t="s">
        <v>315</v>
      </c>
      <c r="B31" s="240" t="s">
        <v>316</v>
      </c>
      <c r="C31" s="1155">
        <v>0</v>
      </c>
      <c r="D31" s="1155">
        <v>0</v>
      </c>
      <c r="E31" s="1155">
        <v>0</v>
      </c>
      <c r="F31" s="1146">
        <v>0</v>
      </c>
      <c r="G31" s="1169"/>
      <c r="H31" s="1169"/>
      <c r="I31" s="241"/>
      <c r="J31" s="241"/>
    </row>
    <row r="32" spans="1:12" s="1149" customFormat="1" ht="29.25" customHeight="1" x14ac:dyDescent="0.3">
      <c r="A32" s="246" t="s">
        <v>317</v>
      </c>
      <c r="B32" s="247" t="s">
        <v>318</v>
      </c>
      <c r="C32" s="1164">
        <f>SUM(C29:C31)</f>
        <v>1521460</v>
      </c>
      <c r="D32" s="1164">
        <f>SUM(D29:D31)</f>
        <v>1525504</v>
      </c>
      <c r="E32" s="1164">
        <f>SUM(E29:E31)</f>
        <v>1114823</v>
      </c>
      <c r="F32" s="1165">
        <f>SUM(F29:F31)</f>
        <v>0</v>
      </c>
      <c r="G32" s="1169"/>
      <c r="H32" s="1169"/>
      <c r="I32" s="1170"/>
      <c r="J32" s="1170"/>
    </row>
    <row r="33" spans="1:12" s="1149" customFormat="1" ht="29.25" customHeight="1" thickBot="1" x14ac:dyDescent="0.35">
      <c r="A33" s="1171" t="s">
        <v>234</v>
      </c>
      <c r="B33" s="1168"/>
      <c r="C33" s="1172">
        <f>SUM(C32,C23)</f>
        <v>4007084</v>
      </c>
      <c r="D33" s="1172">
        <f>SUM(D32,D23)</f>
        <v>3956589</v>
      </c>
      <c r="E33" s="1172">
        <f>SUM(E32,E23)</f>
        <v>3525182</v>
      </c>
      <c r="F33" s="1173">
        <f>SUM(F32,F23)</f>
        <v>2410359</v>
      </c>
      <c r="G33" s="1169"/>
      <c r="H33" s="1169"/>
      <c r="I33" s="1169"/>
      <c r="J33" s="1169"/>
    </row>
    <row r="34" spans="1:12" ht="18" x14ac:dyDescent="0.35">
      <c r="G34" s="227"/>
      <c r="H34" s="227"/>
      <c r="I34" s="227"/>
      <c r="J34" s="227"/>
    </row>
    <row r="35" spans="1:12" hidden="1" x14ac:dyDescent="0.3">
      <c r="E35" s="557"/>
      <c r="F35" s="557"/>
    </row>
    <row r="36" spans="1:12" hidden="1" x14ac:dyDescent="0.3">
      <c r="C36" s="557"/>
      <c r="E36" s="557">
        <f>'1.Bev_kiad_kiemelt ei'!C18</f>
        <v>3525182</v>
      </c>
      <c r="F36" s="557">
        <f>'1.Bev_kiad_kiemelt ei'!E18</f>
        <v>2410359</v>
      </c>
      <c r="K36" s="557"/>
      <c r="L36" s="557"/>
    </row>
    <row r="37" spans="1:12" hidden="1" x14ac:dyDescent="0.3">
      <c r="I37" s="557"/>
      <c r="K37" s="557">
        <f>K30-'2.Kiadások_részletes '!J35</f>
        <v>0</v>
      </c>
      <c r="L37" s="557">
        <f>L30-'2.Kiadások_részletes '!L35</f>
        <v>0</v>
      </c>
    </row>
    <row r="38" spans="1:12" hidden="1" x14ac:dyDescent="0.3">
      <c r="E38" s="557">
        <f>E33-E36</f>
        <v>0</v>
      </c>
      <c r="F38" s="557">
        <f>F33-F36</f>
        <v>0</v>
      </c>
      <c r="I38" s="557"/>
    </row>
    <row r="39" spans="1:12" hidden="1" x14ac:dyDescent="0.3"/>
    <row r="40" spans="1:12" hidden="1" x14ac:dyDescent="0.3"/>
    <row r="41" spans="1:12" hidden="1" x14ac:dyDescent="0.3"/>
    <row r="42" spans="1:12" hidden="1" x14ac:dyDescent="0.3"/>
    <row r="43" spans="1:12" hidden="1" x14ac:dyDescent="0.3"/>
    <row r="44" spans="1:12" hidden="1" x14ac:dyDescent="0.3"/>
    <row r="45" spans="1:12" hidden="1" x14ac:dyDescent="0.3"/>
    <row r="46" spans="1:12" hidden="1" x14ac:dyDescent="0.3"/>
    <row r="47" spans="1:12" hidden="1" x14ac:dyDescent="0.3"/>
    <row r="48" spans="1:12" hidden="1" x14ac:dyDescent="0.3"/>
    <row r="49" hidden="1" x14ac:dyDescent="0.3"/>
    <row r="50" hidden="1" x14ac:dyDescent="0.3"/>
  </sheetData>
  <mergeCells count="4">
    <mergeCell ref="A1:M1"/>
    <mergeCell ref="A2:M2"/>
    <mergeCell ref="A3:M3"/>
    <mergeCell ref="A4:M4"/>
  </mergeCells>
  <hyperlinks>
    <hyperlink ref="N1" location="Munka1!A1" display="Munka1!A1" xr:uid="{00000000-0004-0000-1D00-000000000000}"/>
  </hyperlinks>
  <printOptions horizontalCentered="1"/>
  <pageMargins left="0.25" right="0.25" top="0.75" bottom="0.75" header="0.3" footer="0.3"/>
  <pageSetup paperSize="8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31">
    <tabColor rgb="FF00B050"/>
    <pageSetUpPr fitToPage="1"/>
  </sheetPr>
  <dimension ref="A1:S47"/>
  <sheetViews>
    <sheetView view="pageBreakPreview" topLeftCell="A7" zoomScale="55" zoomScaleSheetLayoutView="55" workbookViewId="0">
      <selection activeCell="B14" sqref="B14"/>
    </sheetView>
  </sheetViews>
  <sheetFormatPr defaultColWidth="9.109375" defaultRowHeight="18" x14ac:dyDescent="0.35"/>
  <cols>
    <col min="1" max="1" width="13.6640625" style="356" bestFit="1" customWidth="1"/>
    <col min="2" max="2" width="41.6640625" style="356" customWidth="1"/>
    <col min="3" max="3" width="14" style="356" bestFit="1" customWidth="1"/>
    <col min="4" max="4" width="14" style="356" customWidth="1"/>
    <col min="5" max="5" width="14.5546875" style="356" customWidth="1"/>
    <col min="6" max="6" width="15.44140625" style="356" customWidth="1"/>
    <col min="7" max="7" width="14.109375" style="356" customWidth="1"/>
    <col min="8" max="8" width="13.6640625" style="356" customWidth="1"/>
    <col min="9" max="9" width="12.6640625" style="356" customWidth="1"/>
    <col min="10" max="10" width="14.88671875" style="356" bestFit="1" customWidth="1"/>
    <col min="11" max="11" width="16.5546875" style="356" bestFit="1" customWidth="1"/>
    <col min="12" max="12" width="13.44140625" style="356" customWidth="1"/>
    <col min="13" max="13" width="14.109375" style="356" bestFit="1" customWidth="1"/>
    <col min="14" max="14" width="14.88671875" style="356" bestFit="1" customWidth="1"/>
    <col min="15" max="15" width="18" style="356" customWidth="1"/>
    <col min="16" max="16" width="16.109375" style="355" hidden="1" customWidth="1"/>
    <col min="17" max="17" width="14.6640625" style="356" hidden="1" customWidth="1"/>
    <col min="18" max="18" width="19.33203125" style="356" hidden="1" customWidth="1"/>
    <col min="19" max="19" width="9.6640625" style="356" hidden="1" customWidth="1"/>
    <col min="20" max="27" width="0" style="356" hidden="1" customWidth="1"/>
    <col min="28" max="16384" width="9.109375" style="356"/>
  </cols>
  <sheetData>
    <row r="1" spans="1:19" x14ac:dyDescent="0.35">
      <c r="A1" s="1915" t="str">
        <f>Tartalomjegyzék_2021!A1</f>
        <v>Pilisvörösvár Város Önkormányzata Képviselő-testületének 1/2021. (II. 15.) önkormányzati rendelete</v>
      </c>
      <c r="B1" s="1915"/>
      <c r="C1" s="1915"/>
      <c r="D1" s="1915"/>
      <c r="E1" s="1915"/>
      <c r="F1" s="1915"/>
      <c r="G1" s="1915"/>
      <c r="H1" s="1915"/>
      <c r="I1" s="1915"/>
      <c r="J1" s="1915"/>
      <c r="K1" s="1915"/>
      <c r="L1" s="1915"/>
      <c r="M1" s="1915"/>
      <c r="N1" s="1915"/>
      <c r="O1" s="1915"/>
      <c r="P1" s="1368" t="s">
        <v>758</v>
      </c>
    </row>
    <row r="2" spans="1:19" x14ac:dyDescent="0.35">
      <c r="A2" s="1915" t="str">
        <f>Tartalomjegyzék_2021!A2</f>
        <v>az Önkormányzat  2021. évi költségvetéséről</v>
      </c>
      <c r="B2" s="1915"/>
      <c r="C2" s="1915"/>
      <c r="D2" s="1915"/>
      <c r="E2" s="1915"/>
      <c r="F2" s="1915"/>
      <c r="G2" s="1915"/>
      <c r="H2" s="1915"/>
      <c r="I2" s="1915"/>
      <c r="J2" s="1915"/>
      <c r="K2" s="1915"/>
      <c r="L2" s="1915"/>
      <c r="M2" s="1915"/>
      <c r="N2" s="1915"/>
      <c r="O2" s="1915"/>
    </row>
    <row r="3" spans="1:19" x14ac:dyDescent="0.35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9" ht="17.25" customHeight="1" x14ac:dyDescent="0.35">
      <c r="A4" s="1915" t="str">
        <f>Tartalomjegyzék_2021!B35</f>
        <v>Pilisvörösvár Város Önkormányzata várható bevételi és kiadási előirányzatai teljesüléséről készített előirányzat-felhasználási ütemterv</v>
      </c>
      <c r="B4" s="1915"/>
      <c r="C4" s="1915"/>
      <c r="D4" s="1915"/>
      <c r="E4" s="1915"/>
      <c r="F4" s="1915"/>
      <c r="G4" s="1915"/>
      <c r="H4" s="1915"/>
      <c r="I4" s="1915"/>
      <c r="J4" s="1915"/>
      <c r="K4" s="1915"/>
      <c r="L4" s="1915"/>
      <c r="M4" s="1915"/>
      <c r="N4" s="1915"/>
      <c r="O4" s="1915"/>
    </row>
    <row r="5" spans="1:19" ht="24" customHeight="1" x14ac:dyDescent="0.35">
      <c r="B5" s="357"/>
      <c r="C5" s="358"/>
      <c r="D5" s="358"/>
      <c r="E5" s="358"/>
      <c r="F5" s="357"/>
      <c r="G5" s="359"/>
      <c r="H5" s="359"/>
      <c r="I5" s="359"/>
      <c r="J5" s="360"/>
      <c r="K5" s="360"/>
      <c r="L5" s="360"/>
      <c r="M5" s="360"/>
      <c r="N5" s="359"/>
      <c r="O5" s="361" t="s">
        <v>20</v>
      </c>
    </row>
    <row r="6" spans="1:19" ht="18.600000000000001" thickBot="1" x14ac:dyDescent="0.4">
      <c r="B6" s="362"/>
      <c r="C6" s="363"/>
      <c r="D6" s="363"/>
      <c r="E6" s="363"/>
      <c r="F6" s="363"/>
      <c r="G6" s="362"/>
      <c r="H6" s="364"/>
      <c r="I6" s="362"/>
      <c r="J6" s="362"/>
      <c r="K6" s="362"/>
      <c r="L6" s="363"/>
      <c r="M6" s="363"/>
      <c r="N6" s="363"/>
      <c r="O6" s="365" t="s">
        <v>236</v>
      </c>
    </row>
    <row r="7" spans="1:19" x14ac:dyDescent="0.35">
      <c r="A7" s="983" t="s">
        <v>124</v>
      </c>
      <c r="B7" s="984" t="s">
        <v>332</v>
      </c>
      <c r="C7" s="984" t="s">
        <v>412</v>
      </c>
      <c r="D7" s="984" t="s">
        <v>413</v>
      </c>
      <c r="E7" s="984" t="s">
        <v>414</v>
      </c>
      <c r="F7" s="984" t="s">
        <v>415</v>
      </c>
      <c r="G7" s="984" t="s">
        <v>416</v>
      </c>
      <c r="H7" s="984" t="s">
        <v>417</v>
      </c>
      <c r="I7" s="984" t="s">
        <v>418</v>
      </c>
      <c r="J7" s="984" t="s">
        <v>419</v>
      </c>
      <c r="K7" s="984" t="s">
        <v>420</v>
      </c>
      <c r="L7" s="984" t="s">
        <v>421</v>
      </c>
      <c r="M7" s="984" t="s">
        <v>422</v>
      </c>
      <c r="N7" s="984" t="s">
        <v>423</v>
      </c>
      <c r="O7" s="985" t="s">
        <v>111</v>
      </c>
    </row>
    <row r="8" spans="1:19" ht="27.75" customHeight="1" x14ac:dyDescent="0.35">
      <c r="A8" s="986"/>
      <c r="B8" s="1415" t="s">
        <v>47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987"/>
    </row>
    <row r="9" spans="1:19" ht="27.75" customHeight="1" x14ac:dyDescent="0.35">
      <c r="A9" s="986" t="s">
        <v>257</v>
      </c>
      <c r="B9" s="367" t="s">
        <v>425</v>
      </c>
      <c r="C9" s="369">
        <v>153240</v>
      </c>
      <c r="D9" s="369">
        <v>110320</v>
      </c>
      <c r="E9" s="369">
        <v>110320</v>
      </c>
      <c r="F9" s="369">
        <f t="shared" ref="F9" si="0">E9</f>
        <v>110320</v>
      </c>
      <c r="G9" s="369">
        <f t="shared" ref="G9" si="1">F9</f>
        <v>110320</v>
      </c>
      <c r="H9" s="369">
        <v>200326</v>
      </c>
      <c r="I9" s="369">
        <v>110320</v>
      </c>
      <c r="J9" s="369">
        <f t="shared" ref="J9" si="2">I9</f>
        <v>110320</v>
      </c>
      <c r="K9" s="369">
        <f t="shared" ref="K9" si="3">J9</f>
        <v>110320</v>
      </c>
      <c r="L9" s="369">
        <v>170320</v>
      </c>
      <c r="M9" s="369">
        <v>110320</v>
      </c>
      <c r="N9" s="369">
        <f t="shared" ref="N9" si="4">M9</f>
        <v>110320</v>
      </c>
      <c r="O9" s="989">
        <f>SUM(C9:N9)</f>
        <v>1516766</v>
      </c>
      <c r="P9" s="355" t="str">
        <f>'[7]2.Bevételek_részletes'!N6</f>
        <v>ezer Ft</v>
      </c>
      <c r="Q9" s="368" t="e">
        <f t="shared" ref="Q9" si="5">O9-P9</f>
        <v>#VALUE!</v>
      </c>
      <c r="R9" s="355"/>
      <c r="S9" s="368"/>
    </row>
    <row r="10" spans="1:19" ht="27.75" customHeight="1" x14ac:dyDescent="0.35">
      <c r="A10" s="986" t="s">
        <v>265</v>
      </c>
      <c r="B10" s="367" t="s">
        <v>617</v>
      </c>
      <c r="C10" s="369">
        <v>2500</v>
      </c>
      <c r="D10" s="369">
        <v>2500</v>
      </c>
      <c r="E10" s="369">
        <v>193210</v>
      </c>
      <c r="F10" s="1176">
        <v>14330</v>
      </c>
      <c r="G10" s="1176">
        <v>27965</v>
      </c>
      <c r="H10" s="1176">
        <v>2500</v>
      </c>
      <c r="I10" s="1176">
        <v>14330</v>
      </c>
      <c r="J10" s="1176">
        <v>14330</v>
      </c>
      <c r="K10" s="369">
        <v>221566</v>
      </c>
      <c r="L10" s="369">
        <f>+J10</f>
        <v>14330</v>
      </c>
      <c r="M10" s="369">
        <f>+L10</f>
        <v>14330</v>
      </c>
      <c r="N10" s="369">
        <v>51744</v>
      </c>
      <c r="O10" s="989">
        <f>SUM(C10:N10)</f>
        <v>573635</v>
      </c>
      <c r="P10" s="355">
        <v>573635</v>
      </c>
      <c r="Q10" s="368">
        <f>O10-P10</f>
        <v>0</v>
      </c>
      <c r="R10" s="370"/>
    </row>
    <row r="11" spans="1:19" ht="27.75" customHeight="1" x14ac:dyDescent="0.35">
      <c r="A11" s="986" t="s">
        <v>279</v>
      </c>
      <c r="B11" s="367" t="s">
        <v>616</v>
      </c>
      <c r="C11" s="369">
        <v>21797</v>
      </c>
      <c r="D11" s="369">
        <f>C11</f>
        <v>21797</v>
      </c>
      <c r="E11" s="369">
        <f t="shared" ref="E11:N12" si="6">D11</f>
        <v>21797</v>
      </c>
      <c r="F11" s="369">
        <f t="shared" si="6"/>
        <v>21797</v>
      </c>
      <c r="G11" s="369">
        <f t="shared" si="6"/>
        <v>21797</v>
      </c>
      <c r="H11" s="369">
        <f t="shared" si="6"/>
        <v>21797</v>
      </c>
      <c r="I11" s="369">
        <f t="shared" si="6"/>
        <v>21797</v>
      </c>
      <c r="J11" s="369">
        <f t="shared" si="6"/>
        <v>21797</v>
      </c>
      <c r="K11" s="369">
        <f t="shared" si="6"/>
        <v>21797</v>
      </c>
      <c r="L11" s="369">
        <f t="shared" si="6"/>
        <v>21797</v>
      </c>
      <c r="M11" s="369">
        <v>21794</v>
      </c>
      <c r="N11" s="369">
        <v>21794</v>
      </c>
      <c r="O11" s="989">
        <f>SUM(C11:N11)</f>
        <v>261558</v>
      </c>
      <c r="P11" s="355">
        <v>261558</v>
      </c>
      <c r="Q11" s="368">
        <f>O11-P11</f>
        <v>0</v>
      </c>
      <c r="R11" s="370"/>
    </row>
    <row r="12" spans="1:19" ht="27.75" customHeight="1" x14ac:dyDescent="0.35">
      <c r="A12" s="986" t="s">
        <v>295</v>
      </c>
      <c r="B12" s="367" t="s">
        <v>424</v>
      </c>
      <c r="C12" s="369">
        <v>0</v>
      </c>
      <c r="D12" s="369">
        <f>C12</f>
        <v>0</v>
      </c>
      <c r="E12" s="369">
        <f t="shared" si="6"/>
        <v>0</v>
      </c>
      <c r="F12" s="369">
        <f t="shared" si="6"/>
        <v>0</v>
      </c>
      <c r="G12" s="369">
        <f t="shared" si="6"/>
        <v>0</v>
      </c>
      <c r="H12" s="369">
        <f t="shared" si="6"/>
        <v>0</v>
      </c>
      <c r="I12" s="369">
        <f t="shared" si="6"/>
        <v>0</v>
      </c>
      <c r="J12" s="369">
        <f t="shared" si="6"/>
        <v>0</v>
      </c>
      <c r="K12" s="369">
        <f t="shared" si="6"/>
        <v>0</v>
      </c>
      <c r="L12" s="369">
        <f t="shared" si="6"/>
        <v>0</v>
      </c>
      <c r="M12" s="369">
        <f t="shared" si="6"/>
        <v>0</v>
      </c>
      <c r="N12" s="369">
        <f t="shared" si="6"/>
        <v>0</v>
      </c>
      <c r="O12" s="989">
        <f t="shared" ref="O12:O16" si="7">SUM(C12:N12)</f>
        <v>0</v>
      </c>
      <c r="P12" s="355">
        <v>0</v>
      </c>
      <c r="Q12" s="368">
        <f t="shared" ref="Q12:Q17" si="8">O12-P12</f>
        <v>0</v>
      </c>
    </row>
    <row r="13" spans="1:19" ht="27.75" customHeight="1" x14ac:dyDescent="0.35">
      <c r="A13" s="986" t="s">
        <v>303</v>
      </c>
      <c r="B13" s="367" t="s">
        <v>711</v>
      </c>
      <c r="C13" s="369">
        <v>0</v>
      </c>
      <c r="D13" s="369">
        <v>0</v>
      </c>
      <c r="E13" s="369">
        <v>0</v>
      </c>
      <c r="F13" s="369">
        <v>0</v>
      </c>
      <c r="G13" s="369">
        <v>0</v>
      </c>
      <c r="H13" s="369">
        <v>0</v>
      </c>
      <c r="I13" s="369">
        <v>0</v>
      </c>
      <c r="J13" s="369">
        <v>0</v>
      </c>
      <c r="K13" s="369">
        <v>0</v>
      </c>
      <c r="L13" s="369">
        <v>0</v>
      </c>
      <c r="M13" s="369">
        <v>0</v>
      </c>
      <c r="N13" s="369">
        <v>0</v>
      </c>
      <c r="O13" s="989">
        <f t="shared" si="7"/>
        <v>0</v>
      </c>
      <c r="Q13" s="368">
        <f t="shared" si="8"/>
        <v>0</v>
      </c>
    </row>
    <row r="14" spans="1:19" ht="27.75" customHeight="1" x14ac:dyDescent="0.35">
      <c r="A14" s="986" t="s">
        <v>472</v>
      </c>
      <c r="B14" s="367" t="s">
        <v>653</v>
      </c>
      <c r="C14" s="369">
        <v>0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989">
        <f t="shared" si="7"/>
        <v>0</v>
      </c>
      <c r="Q14" s="368">
        <f t="shared" si="8"/>
        <v>0</v>
      </c>
    </row>
    <row r="15" spans="1:19" ht="27.75" customHeight="1" x14ac:dyDescent="0.35">
      <c r="A15" s="986" t="s">
        <v>285</v>
      </c>
      <c r="B15" s="367" t="s">
        <v>426</v>
      </c>
      <c r="C15" s="369">
        <v>320</v>
      </c>
      <c r="D15" s="369">
        <v>54879</v>
      </c>
      <c r="E15" s="369">
        <v>320</v>
      </c>
      <c r="F15" s="369">
        <v>320</v>
      </c>
      <c r="G15" s="369">
        <v>320</v>
      </c>
      <c r="H15" s="369">
        <v>320</v>
      </c>
      <c r="I15" s="369">
        <v>320</v>
      </c>
      <c r="J15" s="369">
        <v>320</v>
      </c>
      <c r="K15" s="369">
        <v>320</v>
      </c>
      <c r="L15" s="369">
        <v>320</v>
      </c>
      <c r="M15" s="369">
        <v>320</v>
      </c>
      <c r="N15" s="369">
        <v>320</v>
      </c>
      <c r="O15" s="989">
        <f>SUM(C15:N15)</f>
        <v>58399</v>
      </c>
      <c r="P15" s="355">
        <v>58399</v>
      </c>
      <c r="Q15" s="368">
        <f t="shared" si="8"/>
        <v>0</v>
      </c>
      <c r="R15" s="368"/>
    </row>
    <row r="16" spans="1:19" ht="27.75" customHeight="1" x14ac:dyDescent="0.35">
      <c r="A16" s="986" t="s">
        <v>308</v>
      </c>
      <c r="B16" s="367" t="s">
        <v>501</v>
      </c>
      <c r="C16" s="369">
        <v>0</v>
      </c>
      <c r="D16" s="369">
        <v>0</v>
      </c>
      <c r="E16" s="369">
        <v>0</v>
      </c>
      <c r="F16" s="369">
        <v>0</v>
      </c>
      <c r="G16" s="369">
        <v>0</v>
      </c>
      <c r="H16" s="369">
        <v>0</v>
      </c>
      <c r="I16" s="369">
        <v>0</v>
      </c>
      <c r="J16" s="369">
        <v>0</v>
      </c>
      <c r="K16" s="369">
        <v>0</v>
      </c>
      <c r="L16" s="369">
        <v>0</v>
      </c>
      <c r="M16" s="369">
        <v>0</v>
      </c>
      <c r="N16" s="369">
        <v>0</v>
      </c>
      <c r="O16" s="989">
        <f t="shared" si="7"/>
        <v>0</v>
      </c>
      <c r="P16" s="355">
        <v>0</v>
      </c>
      <c r="Q16" s="368">
        <f t="shared" si="8"/>
        <v>0</v>
      </c>
    </row>
    <row r="17" spans="1:17" ht="27.75" customHeight="1" thickBot="1" x14ac:dyDescent="0.4">
      <c r="A17" s="1001"/>
      <c r="B17" s="1002" t="s">
        <v>427</v>
      </c>
      <c r="C17" s="1003">
        <f t="shared" ref="C17:N17" si="9">SUM(C9:C16)</f>
        <v>177857</v>
      </c>
      <c r="D17" s="1003">
        <f t="shared" si="9"/>
        <v>189496</v>
      </c>
      <c r="E17" s="1003">
        <f t="shared" si="9"/>
        <v>325647</v>
      </c>
      <c r="F17" s="1003">
        <f t="shared" si="9"/>
        <v>146767</v>
      </c>
      <c r="G17" s="1003">
        <f>SUM(G9:G16)+1</f>
        <v>160403</v>
      </c>
      <c r="H17" s="1003">
        <f t="shared" si="9"/>
        <v>224943</v>
      </c>
      <c r="I17" s="1003">
        <f t="shared" si="9"/>
        <v>146767</v>
      </c>
      <c r="J17" s="1003">
        <f t="shared" si="9"/>
        <v>146767</v>
      </c>
      <c r="K17" s="1003">
        <f t="shared" si="9"/>
        <v>354003</v>
      </c>
      <c r="L17" s="1003">
        <f t="shared" si="9"/>
        <v>206767</v>
      </c>
      <c r="M17" s="1003">
        <f t="shared" si="9"/>
        <v>146764</v>
      </c>
      <c r="N17" s="1003">
        <f t="shared" si="9"/>
        <v>184178</v>
      </c>
      <c r="O17" s="1004">
        <f>SUM(C17:N17)</f>
        <v>2410359</v>
      </c>
      <c r="P17" s="355">
        <v>2410359</v>
      </c>
      <c r="Q17" s="368">
        <f t="shared" si="8"/>
        <v>0</v>
      </c>
    </row>
    <row r="18" spans="1:17" ht="27.75" customHeight="1" thickBot="1" x14ac:dyDescent="0.4">
      <c r="A18" s="990"/>
      <c r="B18" s="991"/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Q18" s="370"/>
    </row>
    <row r="19" spans="1:17" ht="27.75" customHeight="1" x14ac:dyDescent="0.35">
      <c r="A19" s="993"/>
      <c r="B19" s="994" t="s">
        <v>428</v>
      </c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6"/>
      <c r="Q19" s="370"/>
    </row>
    <row r="20" spans="1:17" ht="27.75" customHeight="1" x14ac:dyDescent="0.35">
      <c r="A20" s="986" t="s">
        <v>360</v>
      </c>
      <c r="B20" s="367" t="s">
        <v>787</v>
      </c>
      <c r="C20" s="369">
        <v>198413</v>
      </c>
      <c r="D20" s="369">
        <f>C20</f>
        <v>198413</v>
      </c>
      <c r="E20" s="369">
        <f>C20-1000</f>
        <v>197413</v>
      </c>
      <c r="F20" s="369">
        <f>C20-3700</f>
        <v>194713</v>
      </c>
      <c r="G20" s="369">
        <f>C20</f>
        <v>198413</v>
      </c>
      <c r="H20" s="369">
        <f>C20-31022</f>
        <v>167391</v>
      </c>
      <c r="I20" s="369">
        <f>C20</f>
        <v>198413</v>
      </c>
      <c r="J20" s="369">
        <f>C20</f>
        <v>198413</v>
      </c>
      <c r="K20" s="369">
        <f>C20</f>
        <v>198413</v>
      </c>
      <c r="L20" s="369">
        <f>C20-24779</f>
        <v>173634</v>
      </c>
      <c r="M20" s="369">
        <f>C20</f>
        <v>198413</v>
      </c>
      <c r="N20" s="369">
        <v>201011</v>
      </c>
      <c r="O20" s="988">
        <f t="shared" ref="O20:O26" si="10">SUM(C20:N20)</f>
        <v>2323053</v>
      </c>
      <c r="P20" s="355">
        <v>2323053</v>
      </c>
      <c r="Q20" s="368">
        <f t="shared" ref="Q20:Q27" si="11">O20-P20</f>
        <v>0</v>
      </c>
    </row>
    <row r="21" spans="1:17" ht="27.75" customHeight="1" x14ac:dyDescent="0.35">
      <c r="A21" s="986" t="s">
        <v>544</v>
      </c>
      <c r="B21" s="367" t="s">
        <v>432</v>
      </c>
      <c r="C21" s="369">
        <v>0</v>
      </c>
      <c r="D21" s="366">
        <v>0</v>
      </c>
      <c r="E21" s="369">
        <v>1000</v>
      </c>
      <c r="F21" s="369">
        <v>3700</v>
      </c>
      <c r="G21" s="369">
        <v>0</v>
      </c>
      <c r="H21" s="369">
        <v>31022</v>
      </c>
      <c r="I21" s="369">
        <v>0</v>
      </c>
      <c r="J21" s="369">
        <v>0</v>
      </c>
      <c r="K21" s="369">
        <v>0</v>
      </c>
      <c r="L21" s="369">
        <v>24779</v>
      </c>
      <c r="M21" s="369">
        <v>0</v>
      </c>
      <c r="N21" s="369"/>
      <c r="O21" s="997">
        <f t="shared" ref="O21:O22" si="12">SUM(C21:N21)</f>
        <v>60501</v>
      </c>
      <c r="P21" s="355">
        <v>60501</v>
      </c>
      <c r="Q21" s="368">
        <f t="shared" si="11"/>
        <v>0</v>
      </c>
    </row>
    <row r="22" spans="1:17" ht="27.75" customHeight="1" x14ac:dyDescent="0.35">
      <c r="A22" s="986" t="s">
        <v>181</v>
      </c>
      <c r="B22" s="367" t="s">
        <v>431</v>
      </c>
      <c r="C22" s="369"/>
      <c r="D22" s="369">
        <v>0</v>
      </c>
      <c r="E22" s="369">
        <v>0</v>
      </c>
      <c r="F22" s="369">
        <v>0</v>
      </c>
      <c r="G22" s="369">
        <v>11709</v>
      </c>
      <c r="H22" s="369">
        <v>7814</v>
      </c>
      <c r="I22" s="369">
        <v>2795</v>
      </c>
      <c r="J22" s="369">
        <v>3167</v>
      </c>
      <c r="K22" s="369">
        <v>0</v>
      </c>
      <c r="L22" s="369">
        <v>0</v>
      </c>
      <c r="M22" s="369">
        <v>0</v>
      </c>
      <c r="N22" s="369"/>
      <c r="O22" s="997">
        <f t="shared" si="12"/>
        <v>25485</v>
      </c>
      <c r="P22" s="355">
        <v>25485</v>
      </c>
      <c r="Q22" s="368">
        <f t="shared" si="11"/>
        <v>0</v>
      </c>
    </row>
    <row r="23" spans="1:17" ht="27.75" customHeight="1" x14ac:dyDescent="0.35">
      <c r="A23" s="986" t="s">
        <v>182</v>
      </c>
      <c r="B23" s="367" t="s">
        <v>430</v>
      </c>
      <c r="C23" s="366"/>
      <c r="D23" s="369"/>
      <c r="E23" s="369">
        <v>0</v>
      </c>
      <c r="F23" s="369">
        <v>0</v>
      </c>
      <c r="G23" s="369">
        <v>0</v>
      </c>
      <c r="H23" s="369">
        <v>0</v>
      </c>
      <c r="I23" s="369"/>
      <c r="J23" s="369"/>
      <c r="K23" s="369">
        <v>0</v>
      </c>
      <c r="L23" s="369">
        <v>0</v>
      </c>
      <c r="M23" s="369">
        <v>0</v>
      </c>
      <c r="N23" s="369">
        <v>0</v>
      </c>
      <c r="O23" s="997">
        <f>SUM(C23:N23)</f>
        <v>0</v>
      </c>
      <c r="P23" s="355">
        <v>0</v>
      </c>
      <c r="Q23" s="368">
        <f t="shared" si="11"/>
        <v>0</v>
      </c>
    </row>
    <row r="24" spans="1:17" ht="33.6" x14ac:dyDescent="0.35">
      <c r="A24" s="986" t="s">
        <v>186</v>
      </c>
      <c r="B24" s="96" t="s">
        <v>585</v>
      </c>
      <c r="C24" s="369">
        <v>0</v>
      </c>
      <c r="D24" s="366">
        <v>0</v>
      </c>
      <c r="E24" s="369">
        <v>0</v>
      </c>
      <c r="F24" s="369">
        <v>0</v>
      </c>
      <c r="G24" s="369">
        <v>0</v>
      </c>
      <c r="H24" s="369">
        <v>0</v>
      </c>
      <c r="I24" s="369">
        <v>0</v>
      </c>
      <c r="J24" s="369">
        <v>0</v>
      </c>
      <c r="K24" s="369">
        <v>0</v>
      </c>
      <c r="L24" s="369">
        <v>0</v>
      </c>
      <c r="M24" s="369">
        <v>0</v>
      </c>
      <c r="N24" s="369">
        <v>0</v>
      </c>
      <c r="O24" s="997">
        <f t="shared" si="10"/>
        <v>0</v>
      </c>
      <c r="P24" s="355">
        <v>0</v>
      </c>
      <c r="Q24" s="368">
        <f t="shared" si="11"/>
        <v>0</v>
      </c>
    </row>
    <row r="25" spans="1:17" x14ac:dyDescent="0.35">
      <c r="A25" s="986" t="s">
        <v>190</v>
      </c>
      <c r="B25" s="367" t="s">
        <v>429</v>
      </c>
      <c r="C25" s="369">
        <v>330</v>
      </c>
      <c r="D25" s="369">
        <v>0</v>
      </c>
      <c r="E25" s="369">
        <v>0</v>
      </c>
      <c r="F25" s="369">
        <v>330</v>
      </c>
      <c r="G25" s="369">
        <v>0</v>
      </c>
      <c r="H25" s="369">
        <v>0</v>
      </c>
      <c r="I25" s="369">
        <v>330</v>
      </c>
      <c r="J25" s="369">
        <v>0</v>
      </c>
      <c r="K25" s="369">
        <v>0</v>
      </c>
      <c r="L25" s="369">
        <v>330</v>
      </c>
      <c r="M25" s="369">
        <v>0</v>
      </c>
      <c r="N25" s="369">
        <v>0</v>
      </c>
      <c r="O25" s="997">
        <f>SUM(C25:N25)</f>
        <v>1320</v>
      </c>
      <c r="P25" s="355">
        <v>1320</v>
      </c>
      <c r="Q25" s="368">
        <f t="shared" si="11"/>
        <v>0</v>
      </c>
    </row>
    <row r="26" spans="1:17" ht="27.75" customHeight="1" x14ac:dyDescent="0.35">
      <c r="A26" s="986" t="s">
        <v>514</v>
      </c>
      <c r="B26" s="367" t="s">
        <v>615</v>
      </c>
      <c r="C26" s="369"/>
      <c r="D26" s="366">
        <v>0</v>
      </c>
      <c r="E26" s="369">
        <v>0</v>
      </c>
      <c r="F26" s="369">
        <v>0</v>
      </c>
      <c r="G26" s="369">
        <v>0</v>
      </c>
      <c r="H26" s="369">
        <v>0</v>
      </c>
      <c r="I26" s="369">
        <v>0</v>
      </c>
      <c r="J26" s="369">
        <v>0</v>
      </c>
      <c r="K26" s="369">
        <v>0</v>
      </c>
      <c r="L26" s="369">
        <v>0</v>
      </c>
      <c r="M26" s="369">
        <v>0</v>
      </c>
      <c r="N26" s="369">
        <v>0</v>
      </c>
      <c r="O26" s="997">
        <f t="shared" si="10"/>
        <v>0</v>
      </c>
      <c r="P26" s="355">
        <f>O26</f>
        <v>0</v>
      </c>
      <c r="Q26" s="368">
        <f t="shared" si="11"/>
        <v>0</v>
      </c>
    </row>
    <row r="27" spans="1:17" ht="27.75" customHeight="1" thickBot="1" x14ac:dyDescent="0.4">
      <c r="A27" s="1001"/>
      <c r="B27" s="1002" t="s">
        <v>433</v>
      </c>
      <c r="C27" s="1003">
        <f t="shared" ref="C27:M27" si="13">SUM(C20:C26)</f>
        <v>198743</v>
      </c>
      <c r="D27" s="1003">
        <f t="shared" si="13"/>
        <v>198413</v>
      </c>
      <c r="E27" s="1003">
        <f t="shared" si="13"/>
        <v>198413</v>
      </c>
      <c r="F27" s="1003">
        <f t="shared" si="13"/>
        <v>198743</v>
      </c>
      <c r="G27" s="1003">
        <f t="shared" si="13"/>
        <v>210122</v>
      </c>
      <c r="H27" s="1003">
        <f t="shared" si="13"/>
        <v>206227</v>
      </c>
      <c r="I27" s="1003">
        <f t="shared" si="13"/>
        <v>201538</v>
      </c>
      <c r="J27" s="1003">
        <f t="shared" si="13"/>
        <v>201580</v>
      </c>
      <c r="K27" s="1003">
        <f t="shared" si="13"/>
        <v>198413</v>
      </c>
      <c r="L27" s="1003">
        <f t="shared" si="13"/>
        <v>198743</v>
      </c>
      <c r="M27" s="1003">
        <f t="shared" si="13"/>
        <v>198413</v>
      </c>
      <c r="N27" s="1003">
        <f>N20+N21+N23+N22+N24+N25+N26</f>
        <v>201011</v>
      </c>
      <c r="O27" s="1004">
        <f>SUM(O20:O26)</f>
        <v>2410359</v>
      </c>
      <c r="P27" s="355">
        <v>2410359</v>
      </c>
      <c r="Q27" s="368">
        <f t="shared" si="11"/>
        <v>0</v>
      </c>
    </row>
    <row r="28" spans="1:17" ht="27.75" customHeight="1" thickBot="1" x14ac:dyDescent="0.4">
      <c r="A28" s="998"/>
      <c r="B28" s="999"/>
      <c r="C28" s="1000"/>
      <c r="D28" s="1000"/>
      <c r="E28" s="1000"/>
      <c r="F28" s="1000"/>
      <c r="G28" s="1000"/>
      <c r="H28" s="1000"/>
      <c r="I28" s="1000"/>
      <c r="J28" s="1000"/>
      <c r="K28" s="1000"/>
      <c r="L28" s="1000"/>
      <c r="M28" s="1000"/>
      <c r="N28" s="1000"/>
      <c r="O28" s="1000"/>
    </row>
    <row r="29" spans="1:17" ht="27.75" customHeight="1" thickBot="1" x14ac:dyDescent="0.4">
      <c r="A29" s="478"/>
      <c r="B29" s="479" t="s">
        <v>434</v>
      </c>
      <c r="C29" s="480">
        <f t="shared" ref="C29:N29" si="14">C17-C27</f>
        <v>-20886</v>
      </c>
      <c r="D29" s="480">
        <f t="shared" si="14"/>
        <v>-8917</v>
      </c>
      <c r="E29" s="480">
        <f t="shared" si="14"/>
        <v>127234</v>
      </c>
      <c r="F29" s="480">
        <f t="shared" si="14"/>
        <v>-51976</v>
      </c>
      <c r="G29" s="480">
        <f t="shared" si="14"/>
        <v>-49719</v>
      </c>
      <c r="H29" s="480">
        <f t="shared" si="14"/>
        <v>18716</v>
      </c>
      <c r="I29" s="480">
        <f t="shared" si="14"/>
        <v>-54771</v>
      </c>
      <c r="J29" s="480">
        <f t="shared" si="14"/>
        <v>-54813</v>
      </c>
      <c r="K29" s="480">
        <f t="shared" si="14"/>
        <v>155590</v>
      </c>
      <c r="L29" s="480">
        <f t="shared" si="14"/>
        <v>8024</v>
      </c>
      <c r="M29" s="480">
        <f t="shared" si="14"/>
        <v>-51649</v>
      </c>
      <c r="N29" s="480">
        <f t="shared" si="14"/>
        <v>-16833</v>
      </c>
      <c r="O29" s="1286">
        <f>O27-O17</f>
        <v>0</v>
      </c>
    </row>
    <row r="30" spans="1:17" hidden="1" x14ac:dyDescent="0.35">
      <c r="B30" s="362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</row>
    <row r="31" spans="1:17" hidden="1" x14ac:dyDescent="0.35"/>
    <row r="32" spans="1:17" hidden="1" x14ac:dyDescent="0.35"/>
    <row r="33" spans="3:3" hidden="1" x14ac:dyDescent="0.35">
      <c r="C33" s="368"/>
    </row>
    <row r="34" spans="3:3" hidden="1" x14ac:dyDescent="0.35"/>
    <row r="35" spans="3:3" hidden="1" x14ac:dyDescent="0.35"/>
    <row r="36" spans="3:3" hidden="1" x14ac:dyDescent="0.35"/>
    <row r="37" spans="3:3" hidden="1" x14ac:dyDescent="0.35"/>
    <row r="38" spans="3:3" hidden="1" x14ac:dyDescent="0.35"/>
    <row r="39" spans="3:3" hidden="1" x14ac:dyDescent="0.35"/>
    <row r="40" spans="3:3" hidden="1" x14ac:dyDescent="0.35"/>
    <row r="41" spans="3:3" hidden="1" x14ac:dyDescent="0.35"/>
    <row r="42" spans="3:3" hidden="1" x14ac:dyDescent="0.35"/>
    <row r="43" spans="3:3" hidden="1" x14ac:dyDescent="0.35"/>
    <row r="44" spans="3:3" hidden="1" x14ac:dyDescent="0.35"/>
    <row r="45" spans="3:3" hidden="1" x14ac:dyDescent="0.35"/>
    <row r="46" spans="3:3" hidden="1" x14ac:dyDescent="0.35"/>
    <row r="47" spans="3:3" hidden="1" x14ac:dyDescent="0.35"/>
  </sheetData>
  <mergeCells count="3">
    <mergeCell ref="A2:O2"/>
    <mergeCell ref="A1:O1"/>
    <mergeCell ref="A4:O4"/>
  </mergeCells>
  <phoneticPr fontId="57" type="noConversion"/>
  <hyperlinks>
    <hyperlink ref="P1" location="Munka1!A1" display="Munka1!A1" xr:uid="{00000000-0004-0000-1E00-000000000000}"/>
  </hyperlinks>
  <printOptions horizontalCentered="1"/>
  <pageMargins left="0.16" right="0.24" top="0.22" bottom="0.74803149606299213" header="0.31496062992125984" footer="0.31496062992125984"/>
  <pageSetup paperSize="9" scale="6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29">
    <tabColor rgb="FF00B050"/>
    <pageSetUpPr fitToPage="1"/>
  </sheetPr>
  <dimension ref="A1:M386"/>
  <sheetViews>
    <sheetView view="pageBreakPreview" zoomScale="85" zoomScaleNormal="90" zoomScaleSheetLayoutView="85" workbookViewId="0">
      <pane ySplit="8" topLeftCell="A30" activePane="bottomLeft" state="frozen"/>
      <selection activeCell="B14" sqref="B14"/>
      <selection pane="bottomLeft" activeCell="V213" sqref="V213"/>
    </sheetView>
  </sheetViews>
  <sheetFormatPr defaultColWidth="9.109375" defaultRowHeight="13.2" x14ac:dyDescent="0.25"/>
  <cols>
    <col min="1" max="1" width="29.6640625" style="63" customWidth="1"/>
    <col min="2" max="2" width="16" style="63" customWidth="1"/>
    <col min="3" max="3" width="13.33203125" style="63" customWidth="1"/>
    <col min="4" max="4" width="14" style="63" customWidth="1"/>
    <col min="5" max="5" width="11.44140625" style="63" customWidth="1"/>
    <col min="6" max="6" width="14.88671875" style="63" customWidth="1"/>
    <col min="7" max="7" width="12.109375" style="63" customWidth="1"/>
    <col min="8" max="20" width="0" style="63" hidden="1" customWidth="1"/>
    <col min="21" max="16384" width="9.109375" style="63"/>
  </cols>
  <sheetData>
    <row r="1" spans="1:13" ht="15.75" customHeight="1" x14ac:dyDescent="0.3">
      <c r="A1" s="1916" t="str">
        <f>Tartalomjegyzék_2021!A1</f>
        <v>Pilisvörösvár Város Önkormányzata Képviselő-testületének 1/2021. (II. 15.) önkormányzati rendelete</v>
      </c>
      <c r="B1" s="1916"/>
      <c r="C1" s="1916"/>
      <c r="D1" s="1916"/>
      <c r="E1" s="1916"/>
      <c r="F1" s="1916"/>
      <c r="G1" s="1916"/>
      <c r="H1" s="1369" t="s">
        <v>758</v>
      </c>
      <c r="I1" s="338"/>
    </row>
    <row r="2" spans="1:13" ht="19.5" customHeight="1" x14ac:dyDescent="0.3">
      <c r="A2" s="1916" t="str">
        <f>Tartalomjegyzék_2021!A2</f>
        <v>az Önkormányzat  2021. évi költségvetéséről</v>
      </c>
      <c r="B2" s="1916"/>
      <c r="C2" s="1916"/>
      <c r="D2" s="1916"/>
      <c r="E2" s="1916"/>
      <c r="F2" s="1916"/>
      <c r="G2" s="1916"/>
      <c r="H2" s="338"/>
      <c r="I2" s="338"/>
    </row>
    <row r="3" spans="1:13" ht="12.75" customHeight="1" x14ac:dyDescent="0.35">
      <c r="A3" s="455"/>
      <c r="B3" s="455"/>
      <c r="C3" s="455"/>
      <c r="D3" s="455"/>
      <c r="E3" s="455"/>
      <c r="F3" s="455"/>
      <c r="G3" s="455"/>
      <c r="H3" s="191"/>
      <c r="I3" s="191"/>
    </row>
    <row r="4" spans="1:13" ht="15.75" customHeight="1" x14ac:dyDescent="0.25">
      <c r="A4" s="1917" t="str">
        <f>Tartalomjegyzék_2021!B36</f>
        <v>Pilisvörösvár Város Önkormányzata intézményeinek finanszírozási ütemterve</v>
      </c>
      <c r="B4" s="1918"/>
      <c r="C4" s="1918"/>
      <c r="D4" s="1918"/>
      <c r="E4" s="1918"/>
      <c r="F4" s="1918"/>
      <c r="G4" s="1919"/>
      <c r="H4" s="192"/>
      <c r="I4" s="192"/>
    </row>
    <row r="5" spans="1:13" s="64" customFormat="1" ht="15.75" customHeight="1" x14ac:dyDescent="0.25">
      <c r="A5" s="427"/>
      <c r="B5" s="428"/>
      <c r="C5" s="428"/>
      <c r="D5" s="428"/>
      <c r="E5" s="428"/>
      <c r="F5" s="428"/>
      <c r="G5" s="717" t="s">
        <v>21</v>
      </c>
      <c r="H5" s="193"/>
      <c r="I5" s="193"/>
    </row>
    <row r="6" spans="1:13" s="64" customFormat="1" ht="15.75" customHeight="1" thickBot="1" x14ac:dyDescent="0.3">
      <c r="A6" s="194"/>
      <c r="B6" s="195"/>
      <c r="C6" s="195"/>
      <c r="D6" s="195"/>
      <c r="E6" s="195"/>
      <c r="F6" s="195"/>
      <c r="G6" s="715" t="s">
        <v>236</v>
      </c>
      <c r="H6" s="193"/>
      <c r="I6" s="193"/>
    </row>
    <row r="7" spans="1:13" s="64" customFormat="1" ht="44.25" customHeight="1" thickBot="1" x14ac:dyDescent="0.3">
      <c r="A7" s="1431" t="s">
        <v>435</v>
      </c>
      <c r="B7" s="487" t="s">
        <v>436</v>
      </c>
      <c r="C7" s="487" t="s">
        <v>74</v>
      </c>
      <c r="D7" s="487" t="s">
        <v>400</v>
      </c>
      <c r="E7" s="488" t="s">
        <v>402</v>
      </c>
      <c r="F7" s="487" t="s">
        <v>239</v>
      </c>
      <c r="G7" s="489" t="s">
        <v>319</v>
      </c>
      <c r="H7" s="193"/>
      <c r="I7" s="193"/>
    </row>
    <row r="8" spans="1:13" s="64" customFormat="1" ht="72.75" customHeight="1" x14ac:dyDescent="0.25">
      <c r="A8" s="197" t="s">
        <v>111</v>
      </c>
      <c r="B8" s="481">
        <f>B10+B12+B14+B16+B18+B20+B22+B24+B26+B28+B30+B32</f>
        <v>440604.99999999994</v>
      </c>
      <c r="C8" s="481">
        <f t="shared" ref="C8:F9" si="0">C10+C12+C14+C16+C18+C20+C22+C24+C26+C28+C30+C32</f>
        <v>464454.99999999994</v>
      </c>
      <c r="D8" s="481">
        <f t="shared" si="0"/>
        <v>127860.99999999999</v>
      </c>
      <c r="E8" s="481">
        <f t="shared" si="0"/>
        <v>37997</v>
      </c>
      <c r="F8" s="481">
        <f t="shared" si="0"/>
        <v>43905</v>
      </c>
      <c r="G8" s="482">
        <f t="shared" ref="G8:G35" si="1">SUM(B8:F8)</f>
        <v>1114823</v>
      </c>
      <c r="H8" s="196"/>
      <c r="I8" s="196"/>
    </row>
    <row r="9" spans="1:13" s="64" customFormat="1" ht="28.5" customHeight="1" x14ac:dyDescent="0.25">
      <c r="A9" s="198" t="s">
        <v>438</v>
      </c>
      <c r="B9" s="1603">
        <f>B11+B13+B15+B17+B19+B21+B23+B25+B27+B29+B31+B33</f>
        <v>246181.99999999997</v>
      </c>
      <c r="C9" s="1603">
        <f t="shared" si="0"/>
        <v>40588</v>
      </c>
      <c r="D9" s="1603">
        <f t="shared" si="0"/>
        <v>80860</v>
      </c>
      <c r="E9" s="1603">
        <f t="shared" si="0"/>
        <v>2956.0000000000005</v>
      </c>
      <c r="F9" s="1603">
        <f t="shared" si="0"/>
        <v>3970.0000000000005</v>
      </c>
      <c r="G9" s="1602">
        <f t="shared" si="1"/>
        <v>374556</v>
      </c>
      <c r="H9" s="196"/>
      <c r="I9" s="196">
        <f>724024-233957-158460</f>
        <v>331607</v>
      </c>
    </row>
    <row r="10" spans="1:13" s="65" customFormat="1" ht="28.5" customHeight="1" x14ac:dyDescent="0.25">
      <c r="A10" s="200" t="s">
        <v>439</v>
      </c>
      <c r="B10" s="483">
        <f>B38/12</f>
        <v>36717.083333333336</v>
      </c>
      <c r="C10" s="483">
        <f>$C$38/12</f>
        <v>38704.583333333336</v>
      </c>
      <c r="D10" s="483">
        <f>$D$38/12</f>
        <v>10655.083333333334</v>
      </c>
      <c r="E10" s="483">
        <f>$E$38/12</f>
        <v>3166.4166666666665</v>
      </c>
      <c r="F10" s="483">
        <f>$F$38/12</f>
        <v>3658.75</v>
      </c>
      <c r="G10" s="482">
        <f t="shared" si="1"/>
        <v>92901.916666666672</v>
      </c>
      <c r="H10" s="199"/>
      <c r="I10" s="199"/>
    </row>
    <row r="11" spans="1:13" s="66" customFormat="1" ht="28.5" customHeight="1" x14ac:dyDescent="0.25">
      <c r="A11" s="198" t="s">
        <v>438</v>
      </c>
      <c r="B11" s="484">
        <f>B39/12</f>
        <v>20515.166666666668</v>
      </c>
      <c r="C11" s="484">
        <f>$C$39/12</f>
        <v>3382.3333333333335</v>
      </c>
      <c r="D11" s="484">
        <f>$D$39/12</f>
        <v>6738.333333333333</v>
      </c>
      <c r="E11" s="484">
        <f>$E$39/12</f>
        <v>246.33333333333334</v>
      </c>
      <c r="F11" s="484">
        <f>$F$39/12</f>
        <v>330.83333333333331</v>
      </c>
      <c r="G11" s="1602">
        <f t="shared" si="1"/>
        <v>31212.999999999996</v>
      </c>
      <c r="H11" s="201"/>
      <c r="I11" s="202"/>
    </row>
    <row r="12" spans="1:13" s="65" customFormat="1" ht="28.5" customHeight="1" x14ac:dyDescent="0.25">
      <c r="A12" s="200" t="s">
        <v>440</v>
      </c>
      <c r="B12" s="483">
        <f>B38/12</f>
        <v>36717.083333333336</v>
      </c>
      <c r="C12" s="483">
        <f>$C$38/12</f>
        <v>38704.583333333336</v>
      </c>
      <c r="D12" s="483">
        <f>$D$38/12</f>
        <v>10655.083333333334</v>
      </c>
      <c r="E12" s="483">
        <f>$E$38/12</f>
        <v>3166.4166666666665</v>
      </c>
      <c r="F12" s="483">
        <f>$F$38/12</f>
        <v>3658.75</v>
      </c>
      <c r="G12" s="482">
        <f t="shared" si="1"/>
        <v>92901.916666666672</v>
      </c>
      <c r="H12" s="203"/>
      <c r="I12" s="199"/>
    </row>
    <row r="13" spans="1:13" s="66" customFormat="1" ht="28.5" customHeight="1" x14ac:dyDescent="0.25">
      <c r="A13" s="198" t="s">
        <v>438</v>
      </c>
      <c r="B13" s="484">
        <f>B39/12</f>
        <v>20515.166666666668</v>
      </c>
      <c r="C13" s="484">
        <f>$C$39/12</f>
        <v>3382.3333333333335</v>
      </c>
      <c r="D13" s="484">
        <f>$D$39/12</f>
        <v>6738.333333333333</v>
      </c>
      <c r="E13" s="484">
        <f>$E$39/12</f>
        <v>246.33333333333334</v>
      </c>
      <c r="F13" s="484">
        <f>$F$39/12</f>
        <v>330.83333333333331</v>
      </c>
      <c r="G13" s="1602">
        <f t="shared" si="1"/>
        <v>31212.999999999996</v>
      </c>
      <c r="H13" s="201"/>
      <c r="I13" s="204"/>
      <c r="M13" s="66">
        <f>+(162060040+405504754-562682380)/1000</f>
        <v>4882.4139999999998</v>
      </c>
    </row>
    <row r="14" spans="1:13" s="65" customFormat="1" ht="28.5" customHeight="1" x14ac:dyDescent="0.25">
      <c r="A14" s="200" t="s">
        <v>441</v>
      </c>
      <c r="B14" s="483">
        <f>B38/12</f>
        <v>36717.083333333336</v>
      </c>
      <c r="C14" s="483">
        <f>$C$38/12</f>
        <v>38704.583333333336</v>
      </c>
      <c r="D14" s="483">
        <f>$D$38/12</f>
        <v>10655.083333333334</v>
      </c>
      <c r="E14" s="483">
        <f>$E$38/12</f>
        <v>3166.4166666666665</v>
      </c>
      <c r="F14" s="483">
        <f>$F$38/12</f>
        <v>3658.75</v>
      </c>
      <c r="G14" s="482">
        <f t="shared" si="1"/>
        <v>92901.916666666672</v>
      </c>
      <c r="H14" s="203"/>
      <c r="I14" s="205"/>
    </row>
    <row r="15" spans="1:13" s="66" customFormat="1" ht="28.5" customHeight="1" x14ac:dyDescent="0.25">
      <c r="A15" s="198" t="s">
        <v>438</v>
      </c>
      <c r="B15" s="1601">
        <f>B39/12</f>
        <v>20515.166666666668</v>
      </c>
      <c r="C15" s="484">
        <f>$C$39/12</f>
        <v>3382.3333333333335</v>
      </c>
      <c r="D15" s="484">
        <f>$D$39/12</f>
        <v>6738.333333333333</v>
      </c>
      <c r="E15" s="484">
        <f>$E$39/12</f>
        <v>246.33333333333334</v>
      </c>
      <c r="F15" s="484">
        <f>$F$39/12</f>
        <v>330.83333333333331</v>
      </c>
      <c r="G15" s="1602">
        <f t="shared" si="1"/>
        <v>31212.999999999996</v>
      </c>
      <c r="H15" s="201"/>
      <c r="I15" s="204"/>
    </row>
    <row r="16" spans="1:13" s="65" customFormat="1" ht="28.5" customHeight="1" x14ac:dyDescent="0.25">
      <c r="A16" s="200" t="s">
        <v>442</v>
      </c>
      <c r="B16" s="483">
        <f>B38/12</f>
        <v>36717.083333333336</v>
      </c>
      <c r="C16" s="483">
        <f>$C$38/12</f>
        <v>38704.583333333336</v>
      </c>
      <c r="D16" s="483">
        <f>$D$38/12</f>
        <v>10655.083333333334</v>
      </c>
      <c r="E16" s="483">
        <f>$E$38/12</f>
        <v>3166.4166666666665</v>
      </c>
      <c r="F16" s="483">
        <f>$F$38/12</f>
        <v>3658.75</v>
      </c>
      <c r="G16" s="482">
        <f t="shared" si="1"/>
        <v>92901.916666666672</v>
      </c>
      <c r="H16" s="203"/>
      <c r="I16" s="205"/>
    </row>
    <row r="17" spans="1:9" s="66" customFormat="1" ht="28.5" customHeight="1" x14ac:dyDescent="0.25">
      <c r="A17" s="198" t="s">
        <v>438</v>
      </c>
      <c r="B17" s="1601">
        <f>B39/12</f>
        <v>20515.166666666668</v>
      </c>
      <c r="C17" s="484">
        <f>$C$39/12</f>
        <v>3382.3333333333335</v>
      </c>
      <c r="D17" s="484">
        <f>$D$39/12</f>
        <v>6738.333333333333</v>
      </c>
      <c r="E17" s="484">
        <f>$E$39/12</f>
        <v>246.33333333333334</v>
      </c>
      <c r="F17" s="484">
        <f>$F$39/12</f>
        <v>330.83333333333331</v>
      </c>
      <c r="G17" s="1602">
        <f t="shared" si="1"/>
        <v>31212.999999999996</v>
      </c>
      <c r="H17" s="201"/>
      <c r="I17" s="204"/>
    </row>
    <row r="18" spans="1:9" s="65" customFormat="1" ht="28.5" customHeight="1" x14ac:dyDescent="0.25">
      <c r="A18" s="206" t="s">
        <v>443</v>
      </c>
      <c r="B18" s="483">
        <f>B38/12</f>
        <v>36717.083333333336</v>
      </c>
      <c r="C18" s="483">
        <f>$C$38/12</f>
        <v>38704.583333333336</v>
      </c>
      <c r="D18" s="483">
        <f>$D$38/12</f>
        <v>10655.083333333334</v>
      </c>
      <c r="E18" s="483">
        <f>$E$38/12</f>
        <v>3166.4166666666665</v>
      </c>
      <c r="F18" s="483">
        <f>$F$38/12</f>
        <v>3658.75</v>
      </c>
      <c r="G18" s="482">
        <f t="shared" si="1"/>
        <v>92901.916666666672</v>
      </c>
      <c r="H18" s="203"/>
      <c r="I18" s="205"/>
    </row>
    <row r="19" spans="1:9" s="67" customFormat="1" ht="28.5" customHeight="1" x14ac:dyDescent="0.25">
      <c r="A19" s="198" t="s">
        <v>438</v>
      </c>
      <c r="B19" s="1601">
        <f>B39/12</f>
        <v>20515.166666666668</v>
      </c>
      <c r="C19" s="484">
        <f>$C$39/12</f>
        <v>3382.3333333333335</v>
      </c>
      <c r="D19" s="484">
        <f>$D$39/12</f>
        <v>6738.333333333333</v>
      </c>
      <c r="E19" s="484">
        <f>$E$39/12</f>
        <v>246.33333333333334</v>
      </c>
      <c r="F19" s="484">
        <f>$F$39/12</f>
        <v>330.83333333333331</v>
      </c>
      <c r="G19" s="1602">
        <f t="shared" si="1"/>
        <v>31212.999999999996</v>
      </c>
      <c r="H19" s="207"/>
      <c r="I19" s="208"/>
    </row>
    <row r="20" spans="1:9" s="65" customFormat="1" ht="28.5" customHeight="1" x14ac:dyDescent="0.25">
      <c r="A20" s="200" t="s">
        <v>444</v>
      </c>
      <c r="B20" s="483">
        <f>B$38/12</f>
        <v>36717.083333333336</v>
      </c>
      <c r="C20" s="483">
        <f>$C$38/12</f>
        <v>38704.583333333336</v>
      </c>
      <c r="D20" s="483">
        <f>$D$38/12</f>
        <v>10655.083333333334</v>
      </c>
      <c r="E20" s="483">
        <f>$E$38/12</f>
        <v>3166.4166666666665</v>
      </c>
      <c r="F20" s="483">
        <f>$F$38/12</f>
        <v>3658.75</v>
      </c>
      <c r="G20" s="482">
        <f t="shared" si="1"/>
        <v>92901.916666666672</v>
      </c>
      <c r="H20" s="203"/>
      <c r="I20" s="205"/>
    </row>
    <row r="21" spans="1:9" s="66" customFormat="1" ht="28.5" customHeight="1" x14ac:dyDescent="0.25">
      <c r="A21" s="198" t="s">
        <v>438</v>
      </c>
      <c r="B21" s="484">
        <f>B$39/12</f>
        <v>20515.166666666668</v>
      </c>
      <c r="C21" s="484">
        <f>$C$39/12</f>
        <v>3382.3333333333335</v>
      </c>
      <c r="D21" s="484">
        <f>$D$39/12</f>
        <v>6738.333333333333</v>
      </c>
      <c r="E21" s="484">
        <f>$E$39/12</f>
        <v>246.33333333333334</v>
      </c>
      <c r="F21" s="484">
        <f>$F$39/12</f>
        <v>330.83333333333331</v>
      </c>
      <c r="G21" s="1602">
        <f t="shared" si="1"/>
        <v>31212.999999999996</v>
      </c>
      <c r="H21" s="201"/>
      <c r="I21" s="204"/>
    </row>
    <row r="22" spans="1:9" s="65" customFormat="1" ht="28.5" customHeight="1" x14ac:dyDescent="0.25">
      <c r="A22" s="200" t="s">
        <v>445</v>
      </c>
      <c r="B22" s="483">
        <f>B$38/12</f>
        <v>36717.083333333336</v>
      </c>
      <c r="C22" s="483">
        <f>$C$38/12</f>
        <v>38704.583333333336</v>
      </c>
      <c r="D22" s="483">
        <f>$D$38/12</f>
        <v>10655.083333333334</v>
      </c>
      <c r="E22" s="483">
        <f>$E$38/12</f>
        <v>3166.4166666666665</v>
      </c>
      <c r="F22" s="483">
        <f>$F$38/12</f>
        <v>3658.75</v>
      </c>
      <c r="G22" s="482">
        <f t="shared" si="1"/>
        <v>92901.916666666672</v>
      </c>
      <c r="H22" s="203"/>
      <c r="I22" s="205"/>
    </row>
    <row r="23" spans="1:9" s="66" customFormat="1" ht="28.5" customHeight="1" x14ac:dyDescent="0.25">
      <c r="A23" s="198" t="s">
        <v>438</v>
      </c>
      <c r="B23" s="484">
        <f>B$39/12</f>
        <v>20515.166666666668</v>
      </c>
      <c r="C23" s="484">
        <f>$C$39/12</f>
        <v>3382.3333333333335</v>
      </c>
      <c r="D23" s="484">
        <f>$D$39/12</f>
        <v>6738.333333333333</v>
      </c>
      <c r="E23" s="484">
        <f>$E$39/12</f>
        <v>246.33333333333334</v>
      </c>
      <c r="F23" s="484">
        <f>$F$39/12</f>
        <v>330.83333333333331</v>
      </c>
      <c r="G23" s="1602">
        <f t="shared" si="1"/>
        <v>31212.999999999996</v>
      </c>
      <c r="H23" s="201"/>
      <c r="I23" s="204"/>
    </row>
    <row r="24" spans="1:9" s="65" customFormat="1" ht="28.5" customHeight="1" x14ac:dyDescent="0.25">
      <c r="A24" s="200" t="s">
        <v>446</v>
      </c>
      <c r="B24" s="483">
        <f>B$38/12</f>
        <v>36717.083333333336</v>
      </c>
      <c r="C24" s="483">
        <f>$C$38/12</f>
        <v>38704.583333333336</v>
      </c>
      <c r="D24" s="483">
        <f>$D$38/12</f>
        <v>10655.083333333334</v>
      </c>
      <c r="E24" s="483">
        <f>$E$38/12</f>
        <v>3166.4166666666665</v>
      </c>
      <c r="F24" s="483">
        <f>$F$38/12</f>
        <v>3658.75</v>
      </c>
      <c r="G24" s="482">
        <f t="shared" si="1"/>
        <v>92901.916666666672</v>
      </c>
      <c r="H24" s="203"/>
      <c r="I24" s="205"/>
    </row>
    <row r="25" spans="1:9" s="66" customFormat="1" ht="28.5" customHeight="1" x14ac:dyDescent="0.25">
      <c r="A25" s="198" t="s">
        <v>438</v>
      </c>
      <c r="B25" s="484">
        <f>B$39/12</f>
        <v>20515.166666666668</v>
      </c>
      <c r="C25" s="484">
        <f>$C$39/12</f>
        <v>3382.3333333333335</v>
      </c>
      <c r="D25" s="484">
        <f>$D$39/12</f>
        <v>6738.333333333333</v>
      </c>
      <c r="E25" s="484">
        <f>$E$39/12</f>
        <v>246.33333333333334</v>
      </c>
      <c r="F25" s="484">
        <f>$F$39/12</f>
        <v>330.83333333333331</v>
      </c>
      <c r="G25" s="1602">
        <f t="shared" si="1"/>
        <v>31212.999999999996</v>
      </c>
      <c r="H25" s="204"/>
      <c r="I25" s="204"/>
    </row>
    <row r="26" spans="1:9" s="65" customFormat="1" ht="28.5" customHeight="1" x14ac:dyDescent="0.25">
      <c r="A26" s="200" t="s">
        <v>447</v>
      </c>
      <c r="B26" s="483">
        <f>B$38/12</f>
        <v>36717.083333333336</v>
      </c>
      <c r="C26" s="483">
        <f>$C$38/12</f>
        <v>38704.583333333336</v>
      </c>
      <c r="D26" s="483">
        <f>$D$38/12</f>
        <v>10655.083333333334</v>
      </c>
      <c r="E26" s="483">
        <f>$E$38/12</f>
        <v>3166.4166666666665</v>
      </c>
      <c r="F26" s="483">
        <f>$F$38/12</f>
        <v>3658.75</v>
      </c>
      <c r="G26" s="482">
        <f t="shared" si="1"/>
        <v>92901.916666666672</v>
      </c>
      <c r="H26" s="205"/>
      <c r="I26" s="205"/>
    </row>
    <row r="27" spans="1:9" s="66" customFormat="1" ht="28.5" customHeight="1" x14ac:dyDescent="0.25">
      <c r="A27" s="198" t="s">
        <v>438</v>
      </c>
      <c r="B27" s="484">
        <f>B$39/12</f>
        <v>20515.166666666668</v>
      </c>
      <c r="C27" s="484">
        <f>$C$39/12</f>
        <v>3382.3333333333335</v>
      </c>
      <c r="D27" s="484">
        <f>$D$39/12</f>
        <v>6738.333333333333</v>
      </c>
      <c r="E27" s="484">
        <f>$E$39/12</f>
        <v>246.33333333333334</v>
      </c>
      <c r="F27" s="484">
        <f>$F$39/12</f>
        <v>330.83333333333331</v>
      </c>
      <c r="G27" s="1602">
        <f t="shared" si="1"/>
        <v>31212.999999999996</v>
      </c>
      <c r="H27" s="204"/>
      <c r="I27" s="204"/>
    </row>
    <row r="28" spans="1:9" s="65" customFormat="1" ht="28.5" customHeight="1" x14ac:dyDescent="0.25">
      <c r="A28" s="200" t="s">
        <v>448</v>
      </c>
      <c r="B28" s="483">
        <f>B$38/12</f>
        <v>36717.083333333336</v>
      </c>
      <c r="C28" s="483">
        <f>$C$38/12</f>
        <v>38704.583333333336</v>
      </c>
      <c r="D28" s="483">
        <f>$D$38/12</f>
        <v>10655.083333333334</v>
      </c>
      <c r="E28" s="483">
        <f>$E$38/12</f>
        <v>3166.4166666666665</v>
      </c>
      <c r="F28" s="483">
        <f>$F$38/12</f>
        <v>3658.75</v>
      </c>
      <c r="G28" s="482">
        <f t="shared" si="1"/>
        <v>92901.916666666672</v>
      </c>
      <c r="H28" s="209"/>
      <c r="I28" s="205"/>
    </row>
    <row r="29" spans="1:9" s="68" customFormat="1" ht="28.5" customHeight="1" x14ac:dyDescent="0.25">
      <c r="A29" s="198" t="s">
        <v>438</v>
      </c>
      <c r="B29" s="484">
        <f>B$39/12</f>
        <v>20515.166666666668</v>
      </c>
      <c r="C29" s="484">
        <f>$C$39/12</f>
        <v>3382.3333333333335</v>
      </c>
      <c r="D29" s="484">
        <f>$D$39/12</f>
        <v>6738.333333333333</v>
      </c>
      <c r="E29" s="484">
        <f>$E$39/12</f>
        <v>246.33333333333334</v>
      </c>
      <c r="F29" s="484">
        <f>$F$39/12</f>
        <v>330.83333333333331</v>
      </c>
      <c r="G29" s="1602">
        <f t="shared" si="1"/>
        <v>31212.999999999996</v>
      </c>
      <c r="H29" s="210"/>
      <c r="I29" s="211"/>
    </row>
    <row r="30" spans="1:9" s="69" customFormat="1" ht="28.5" customHeight="1" x14ac:dyDescent="0.25">
      <c r="A30" s="200" t="s">
        <v>449</v>
      </c>
      <c r="B30" s="483">
        <f>B$38/12</f>
        <v>36717.083333333336</v>
      </c>
      <c r="C30" s="483">
        <f>$C$38/12</f>
        <v>38704.583333333336</v>
      </c>
      <c r="D30" s="483">
        <f>$D$38/12</f>
        <v>10655.083333333334</v>
      </c>
      <c r="E30" s="483">
        <f>$E$38/12</f>
        <v>3166.4166666666665</v>
      </c>
      <c r="F30" s="483">
        <f>$F$38/12</f>
        <v>3658.75</v>
      </c>
      <c r="G30" s="482">
        <f t="shared" si="1"/>
        <v>92901.916666666672</v>
      </c>
      <c r="H30" s="212"/>
      <c r="I30" s="213"/>
    </row>
    <row r="31" spans="1:9" s="68" customFormat="1" ht="28.5" customHeight="1" x14ac:dyDescent="0.25">
      <c r="A31" s="198" t="s">
        <v>438</v>
      </c>
      <c r="B31" s="484">
        <f>B$39/12</f>
        <v>20515.166666666668</v>
      </c>
      <c r="C31" s="484">
        <f>$C$39/12</f>
        <v>3382.3333333333335</v>
      </c>
      <c r="D31" s="484">
        <f>$D$39/12</f>
        <v>6738.333333333333</v>
      </c>
      <c r="E31" s="484">
        <f>$E$39/12</f>
        <v>246.33333333333334</v>
      </c>
      <c r="F31" s="484">
        <f>$F$39/12</f>
        <v>330.83333333333331</v>
      </c>
      <c r="G31" s="1602">
        <f t="shared" si="1"/>
        <v>31212.999999999996</v>
      </c>
      <c r="H31" s="210"/>
      <c r="I31" s="211"/>
    </row>
    <row r="32" spans="1:9" s="69" customFormat="1" ht="28.5" customHeight="1" x14ac:dyDescent="0.25">
      <c r="A32" s="200" t="s">
        <v>450</v>
      </c>
      <c r="B32" s="483">
        <f>B$38/12</f>
        <v>36717.083333333336</v>
      </c>
      <c r="C32" s="483">
        <f>$C$38/12</f>
        <v>38704.583333333336</v>
      </c>
      <c r="D32" s="483">
        <f>$D$38/12</f>
        <v>10655.083333333334</v>
      </c>
      <c r="E32" s="483">
        <f>$E$38/12</f>
        <v>3166.4166666666665</v>
      </c>
      <c r="F32" s="483">
        <f>$F$38/12</f>
        <v>3658.75</v>
      </c>
      <c r="G32" s="482">
        <f t="shared" si="1"/>
        <v>92901.916666666672</v>
      </c>
      <c r="H32" s="212"/>
      <c r="I32" s="213"/>
    </row>
    <row r="33" spans="1:12" s="68" customFormat="1" ht="28.5" customHeight="1" thickBot="1" x14ac:dyDescent="0.3">
      <c r="A33" s="214" t="s">
        <v>438</v>
      </c>
      <c r="B33" s="484">
        <f>B$39/12</f>
        <v>20515.166666666668</v>
      </c>
      <c r="C33" s="484">
        <f>$C$39/12</f>
        <v>3382.3333333333335</v>
      </c>
      <c r="D33" s="484">
        <f>$D$39/12</f>
        <v>6738.333333333333</v>
      </c>
      <c r="E33" s="484">
        <f>$E$39/12</f>
        <v>246.33333333333334</v>
      </c>
      <c r="F33" s="484">
        <f>$F$39/12</f>
        <v>330.83333333333331</v>
      </c>
      <c r="G33" s="1602">
        <f t="shared" si="1"/>
        <v>31212.999999999996</v>
      </c>
      <c r="H33" s="210"/>
      <c r="I33" s="211"/>
    </row>
    <row r="34" spans="1:12" s="69" customFormat="1" ht="28.5" customHeight="1" thickBot="1" x14ac:dyDescent="0.3">
      <c r="A34" s="215" t="s">
        <v>111</v>
      </c>
      <c r="B34" s="485">
        <f>B10+B12+B14+B16+B18+B20+B22+B24+B26+B28+B30+B32</f>
        <v>440604.99999999994</v>
      </c>
      <c r="C34" s="485">
        <f t="shared" ref="C34:E35" si="2">C10+C12+C14+C16+C18+C20+C22+C24+C26+C28+C30+C32</f>
        <v>464454.99999999994</v>
      </c>
      <c r="D34" s="485">
        <f t="shared" si="2"/>
        <v>127860.99999999999</v>
      </c>
      <c r="E34" s="485">
        <f t="shared" si="2"/>
        <v>37997</v>
      </c>
      <c r="F34" s="485">
        <f>F10+F12+F14+F16+F18+F20+F22+F24+F26+F28+F30+F32</f>
        <v>43905</v>
      </c>
      <c r="G34" s="485">
        <f t="shared" si="1"/>
        <v>1114823</v>
      </c>
      <c r="H34" s="212"/>
      <c r="I34" s="213"/>
    </row>
    <row r="35" spans="1:12" ht="28.5" customHeight="1" thickBot="1" x14ac:dyDescent="0.3">
      <c r="A35" s="217" t="s">
        <v>438</v>
      </c>
      <c r="B35" s="486">
        <f>B11+B13+B15+B17+B19+B21+B23+B25+B27+B29+B31+B33</f>
        <v>246181.99999999997</v>
      </c>
      <c r="C35" s="486">
        <f t="shared" si="2"/>
        <v>40588</v>
      </c>
      <c r="D35" s="486">
        <f t="shared" si="2"/>
        <v>80860</v>
      </c>
      <c r="E35" s="486">
        <f t="shared" si="2"/>
        <v>2956.0000000000005</v>
      </c>
      <c r="F35" s="486">
        <f>F11+F13+F15+F17+F19+F21+F23+F25+F27+F29+F31+F33</f>
        <v>3970.0000000000005</v>
      </c>
      <c r="G35" s="486">
        <f t="shared" si="1"/>
        <v>374556</v>
      </c>
      <c r="H35" s="216"/>
      <c r="I35" s="192"/>
      <c r="K35" s="71"/>
      <c r="L35" s="71"/>
    </row>
    <row r="36" spans="1:12" s="69" customFormat="1" ht="28.5" hidden="1" customHeight="1" x14ac:dyDescent="0.25">
      <c r="A36" s="73"/>
      <c r="B36" s="74"/>
      <c r="C36" s="70"/>
      <c r="D36" s="63"/>
      <c r="E36" s="63"/>
      <c r="F36" s="63"/>
      <c r="G36" s="63"/>
      <c r="H36" s="213"/>
      <c r="I36" s="213"/>
      <c r="K36" s="72"/>
      <c r="L36" s="71"/>
    </row>
    <row r="37" spans="1:12" ht="15.75" hidden="1" customHeight="1" x14ac:dyDescent="0.25">
      <c r="A37" s="70"/>
      <c r="B37" s="74"/>
      <c r="C37" s="70"/>
    </row>
    <row r="38" spans="1:12" ht="15.75" hidden="1" customHeight="1" x14ac:dyDescent="0.25">
      <c r="A38" s="70" t="s">
        <v>534</v>
      </c>
      <c r="B38" s="613">
        <f>'2.Bevételek_részletes'!F43</f>
        <v>440605</v>
      </c>
      <c r="C38" s="446">
        <f>'3. Gesz költségvetés'!F33</f>
        <v>464455</v>
      </c>
      <c r="D38" s="71">
        <f>'3. Gesz költségvetés'!H33</f>
        <v>127861</v>
      </c>
      <c r="E38" s="71">
        <f>'3. Gesz költségvetés'!J33</f>
        <v>37997</v>
      </c>
      <c r="F38" s="71">
        <f>'3. Gesz költségvetés'!L33</f>
        <v>43905</v>
      </c>
      <c r="G38" s="68">
        <f>SUM(B38:F38)</f>
        <v>1114823</v>
      </c>
      <c r="I38" s="63" t="s">
        <v>611</v>
      </c>
    </row>
    <row r="39" spans="1:12" ht="13.8" hidden="1" x14ac:dyDescent="0.25">
      <c r="A39" s="70" t="s">
        <v>535</v>
      </c>
      <c r="B39" s="613">
        <f>'2.Kiadások_részletes '!F13</f>
        <v>246182</v>
      </c>
      <c r="C39" s="446">
        <f>'3. Gesz költségvetés'!F41</f>
        <v>40588</v>
      </c>
      <c r="D39" s="71">
        <f>'3. Gesz költségvetés'!H41</f>
        <v>80860</v>
      </c>
      <c r="E39" s="71">
        <f>'3. Gesz költségvetés'!J41</f>
        <v>2956</v>
      </c>
      <c r="F39" s="71">
        <f>'3. Gesz költségvetés'!L41</f>
        <v>3970</v>
      </c>
      <c r="G39" s="1600">
        <f>SUM(B39:F39)</f>
        <v>374556</v>
      </c>
    </row>
    <row r="40" spans="1:12" ht="13.8" hidden="1" x14ac:dyDescent="0.25">
      <c r="A40" s="70"/>
      <c r="B40" s="74"/>
      <c r="C40" s="70"/>
    </row>
    <row r="41" spans="1:12" ht="13.8" hidden="1" x14ac:dyDescent="0.25">
      <c r="A41" s="70"/>
      <c r="B41" s="74"/>
      <c r="C41" s="70"/>
    </row>
    <row r="42" spans="1:12" ht="13.8" hidden="1" x14ac:dyDescent="0.25">
      <c r="A42" s="70"/>
      <c r="B42" s="74"/>
      <c r="C42" s="70"/>
    </row>
    <row r="43" spans="1:12" hidden="1" x14ac:dyDescent="0.25">
      <c r="A43" s="70"/>
      <c r="B43" s="446">
        <f>B34-B38</f>
        <v>0</v>
      </c>
      <c r="C43" s="446">
        <f t="shared" ref="C43:G44" si="3">C34-C38</f>
        <v>0</v>
      </c>
      <c r="D43" s="446">
        <f t="shared" si="3"/>
        <v>0</v>
      </c>
      <c r="E43" s="446">
        <f t="shared" si="3"/>
        <v>0</v>
      </c>
      <c r="F43" s="446">
        <f t="shared" si="3"/>
        <v>0</v>
      </c>
      <c r="G43" s="446">
        <f t="shared" si="3"/>
        <v>0</v>
      </c>
    </row>
    <row r="44" spans="1:12" hidden="1" x14ac:dyDescent="0.25">
      <c r="A44" s="70"/>
      <c r="B44" s="446">
        <f>B35-B39</f>
        <v>0</v>
      </c>
      <c r="C44" s="446">
        <f t="shared" si="3"/>
        <v>0</v>
      </c>
      <c r="D44" s="446">
        <f t="shared" si="3"/>
        <v>0</v>
      </c>
      <c r="E44" s="446">
        <f t="shared" si="3"/>
        <v>0</v>
      </c>
      <c r="F44" s="446">
        <f t="shared" si="3"/>
        <v>0</v>
      </c>
      <c r="G44" s="446">
        <f t="shared" si="3"/>
        <v>0</v>
      </c>
    </row>
    <row r="45" spans="1:12" ht="13.8" hidden="1" x14ac:dyDescent="0.25">
      <c r="A45" s="70"/>
      <c r="B45" s="74"/>
      <c r="C45" s="70"/>
    </row>
    <row r="46" spans="1:12" ht="13.8" hidden="1" x14ac:dyDescent="0.25">
      <c r="A46" s="70"/>
      <c r="B46" s="74"/>
      <c r="C46" s="70"/>
    </row>
    <row r="47" spans="1:12" ht="13.8" hidden="1" x14ac:dyDescent="0.25">
      <c r="A47" s="70"/>
      <c r="B47" s="74"/>
      <c r="C47" s="70"/>
    </row>
    <row r="48" spans="1:12" ht="13.8" hidden="1" x14ac:dyDescent="0.25">
      <c r="A48" s="70"/>
      <c r="B48" s="74"/>
      <c r="C48" s="70"/>
    </row>
    <row r="49" spans="1:3" ht="13.8" hidden="1" x14ac:dyDescent="0.25">
      <c r="A49" s="70"/>
      <c r="B49" s="74"/>
      <c r="C49" s="70"/>
    </row>
    <row r="50" spans="1:3" ht="13.8" hidden="1" x14ac:dyDescent="0.25">
      <c r="A50" s="70"/>
      <c r="B50" s="74"/>
      <c r="C50" s="70"/>
    </row>
    <row r="51" spans="1:3" ht="13.8" hidden="1" x14ac:dyDescent="0.25">
      <c r="A51" s="70"/>
      <c r="B51" s="74"/>
      <c r="C51" s="70"/>
    </row>
    <row r="52" spans="1:3" ht="13.8" hidden="1" x14ac:dyDescent="0.25">
      <c r="A52" s="70"/>
      <c r="B52" s="74"/>
      <c r="C52" s="70"/>
    </row>
    <row r="53" spans="1:3" ht="13.8" hidden="1" x14ac:dyDescent="0.25">
      <c r="A53" s="70"/>
      <c r="B53" s="74"/>
      <c r="C53" s="70"/>
    </row>
    <row r="54" spans="1:3" ht="13.8" hidden="1" x14ac:dyDescent="0.25">
      <c r="A54" s="70"/>
      <c r="B54" s="74"/>
      <c r="C54" s="70"/>
    </row>
    <row r="55" spans="1:3" ht="13.8" hidden="1" x14ac:dyDescent="0.25">
      <c r="A55" s="70"/>
      <c r="B55" s="74"/>
      <c r="C55" s="70"/>
    </row>
    <row r="56" spans="1:3" ht="13.8" hidden="1" x14ac:dyDescent="0.25">
      <c r="A56" s="70"/>
      <c r="B56" s="74"/>
      <c r="C56" s="70"/>
    </row>
    <row r="57" spans="1:3" ht="13.8" hidden="1" x14ac:dyDescent="0.25">
      <c r="A57" s="70"/>
      <c r="B57" s="74"/>
      <c r="C57" s="70"/>
    </row>
    <row r="58" spans="1:3" ht="13.8" hidden="1" x14ac:dyDescent="0.25">
      <c r="A58" s="70"/>
      <c r="B58" s="74"/>
      <c r="C58" s="70"/>
    </row>
    <row r="59" spans="1:3" ht="13.8" hidden="1" x14ac:dyDescent="0.25">
      <c r="A59" s="70"/>
      <c r="B59" s="74"/>
      <c r="C59" s="70"/>
    </row>
    <row r="60" spans="1:3" ht="13.8" hidden="1" x14ac:dyDescent="0.25">
      <c r="A60" s="70"/>
      <c r="B60" s="74"/>
      <c r="C60" s="70"/>
    </row>
    <row r="61" spans="1:3" ht="13.8" hidden="1" x14ac:dyDescent="0.25">
      <c r="A61" s="70"/>
      <c r="B61" s="74"/>
      <c r="C61" s="70"/>
    </row>
    <row r="62" spans="1:3" ht="13.8" hidden="1" x14ac:dyDescent="0.25">
      <c r="A62" s="70"/>
      <c r="B62" s="74"/>
      <c r="C62" s="70"/>
    </row>
    <row r="63" spans="1:3" ht="13.8" hidden="1" x14ac:dyDescent="0.25">
      <c r="A63" s="70"/>
      <c r="B63" s="74"/>
      <c r="C63" s="70"/>
    </row>
    <row r="64" spans="1:3" ht="13.8" hidden="1" x14ac:dyDescent="0.25">
      <c r="A64" s="70"/>
      <c r="B64" s="74"/>
      <c r="C64" s="70"/>
    </row>
    <row r="65" spans="1:3" ht="13.8" hidden="1" x14ac:dyDescent="0.25">
      <c r="A65" s="70"/>
      <c r="B65" s="74"/>
      <c r="C65" s="70"/>
    </row>
    <row r="66" spans="1:3" hidden="1" x14ac:dyDescent="0.25">
      <c r="A66" s="70"/>
      <c r="B66" s="70"/>
      <c r="C66" s="70"/>
    </row>
    <row r="67" spans="1:3" hidden="1" x14ac:dyDescent="0.25">
      <c r="A67" s="70"/>
      <c r="B67" s="70"/>
      <c r="C67" s="70"/>
    </row>
    <row r="68" spans="1:3" hidden="1" x14ac:dyDescent="0.25">
      <c r="A68" s="70"/>
      <c r="B68" s="70"/>
      <c r="C68" s="70"/>
    </row>
    <row r="69" spans="1:3" hidden="1" x14ac:dyDescent="0.25">
      <c r="A69" s="70">
        <v>48</v>
      </c>
      <c r="B69" s="70"/>
      <c r="C69" s="70"/>
    </row>
    <row r="70" spans="1:3" hidden="1" x14ac:dyDescent="0.25">
      <c r="A70" s="70">
        <v>49</v>
      </c>
      <c r="B70" s="70"/>
      <c r="C70" s="70"/>
    </row>
    <row r="71" spans="1:3" hidden="1" x14ac:dyDescent="0.25">
      <c r="A71" s="70">
        <v>50</v>
      </c>
      <c r="B71" s="70"/>
      <c r="C71" s="70"/>
    </row>
    <row r="72" spans="1:3" hidden="1" x14ac:dyDescent="0.25">
      <c r="A72" s="70">
        <v>51</v>
      </c>
      <c r="B72" s="70"/>
      <c r="C72" s="70"/>
    </row>
    <row r="73" spans="1:3" hidden="1" x14ac:dyDescent="0.25">
      <c r="A73" s="70">
        <v>52</v>
      </c>
      <c r="B73" s="70"/>
      <c r="C73" s="70"/>
    </row>
    <row r="74" spans="1:3" hidden="1" x14ac:dyDescent="0.25">
      <c r="A74" s="70">
        <v>53</v>
      </c>
      <c r="B74" s="70"/>
      <c r="C74" s="70"/>
    </row>
    <row r="75" spans="1:3" hidden="1" x14ac:dyDescent="0.25">
      <c r="A75" s="70">
        <v>54</v>
      </c>
      <c r="B75" s="70"/>
      <c r="C75" s="70"/>
    </row>
    <row r="76" spans="1:3" hidden="1" x14ac:dyDescent="0.25">
      <c r="A76" s="70">
        <v>55</v>
      </c>
      <c r="B76" s="70"/>
      <c r="C76" s="70"/>
    </row>
    <row r="77" spans="1:3" hidden="1" x14ac:dyDescent="0.25">
      <c r="A77" s="70">
        <v>56</v>
      </c>
      <c r="B77" s="70"/>
      <c r="C77" s="70"/>
    </row>
    <row r="78" spans="1:3" hidden="1" x14ac:dyDescent="0.25">
      <c r="A78" s="70">
        <v>57</v>
      </c>
      <c r="B78" s="70"/>
      <c r="C78" s="70"/>
    </row>
    <row r="79" spans="1:3" hidden="1" x14ac:dyDescent="0.25">
      <c r="A79" s="70">
        <v>58</v>
      </c>
      <c r="B79" s="70"/>
      <c r="C79" s="70"/>
    </row>
    <row r="80" spans="1:3" hidden="1" x14ac:dyDescent="0.25">
      <c r="A80" s="70">
        <v>59</v>
      </c>
      <c r="B80" s="70"/>
      <c r="C80" s="70"/>
    </row>
    <row r="81" spans="1:3" hidden="1" x14ac:dyDescent="0.25">
      <c r="A81" s="70">
        <v>60</v>
      </c>
      <c r="B81" s="70"/>
      <c r="C81" s="70"/>
    </row>
    <row r="82" spans="1:3" hidden="1" x14ac:dyDescent="0.25">
      <c r="A82" s="70">
        <v>61</v>
      </c>
      <c r="B82" s="70"/>
      <c r="C82" s="70"/>
    </row>
    <row r="83" spans="1:3" hidden="1" x14ac:dyDescent="0.25">
      <c r="A83" s="70"/>
      <c r="B83" s="70"/>
      <c r="C83" s="70"/>
    </row>
    <row r="84" spans="1:3" hidden="1" x14ac:dyDescent="0.25">
      <c r="A84" s="70"/>
      <c r="B84" s="70"/>
      <c r="C84" s="70"/>
    </row>
    <row r="85" spans="1:3" hidden="1" x14ac:dyDescent="0.25">
      <c r="A85" s="70">
        <v>62</v>
      </c>
      <c r="B85" s="70"/>
      <c r="C85" s="70"/>
    </row>
    <row r="86" spans="1:3" hidden="1" x14ac:dyDescent="0.25">
      <c r="A86" s="70">
        <v>63</v>
      </c>
      <c r="B86" s="70"/>
      <c r="C86" s="70"/>
    </row>
    <row r="87" spans="1:3" hidden="1" x14ac:dyDescent="0.25">
      <c r="A87" s="70">
        <v>64</v>
      </c>
      <c r="B87" s="70"/>
      <c r="C87" s="70"/>
    </row>
    <row r="88" spans="1:3" hidden="1" x14ac:dyDescent="0.25">
      <c r="A88" s="70">
        <v>65</v>
      </c>
      <c r="B88" s="70"/>
      <c r="C88" s="70"/>
    </row>
    <row r="89" spans="1:3" hidden="1" x14ac:dyDescent="0.25">
      <c r="A89" s="70">
        <v>66</v>
      </c>
      <c r="B89" s="70"/>
      <c r="C89" s="70"/>
    </row>
    <row r="90" spans="1:3" hidden="1" x14ac:dyDescent="0.25">
      <c r="A90" s="70">
        <v>67</v>
      </c>
      <c r="B90" s="70"/>
      <c r="C90" s="70"/>
    </row>
    <row r="91" spans="1:3" hidden="1" x14ac:dyDescent="0.25">
      <c r="A91" s="70">
        <v>68</v>
      </c>
      <c r="B91" s="70"/>
      <c r="C91" s="70"/>
    </row>
    <row r="92" spans="1:3" hidden="1" x14ac:dyDescent="0.25">
      <c r="A92" s="70">
        <v>69</v>
      </c>
      <c r="B92" s="70"/>
      <c r="C92" s="70"/>
    </row>
    <row r="93" spans="1:3" hidden="1" x14ac:dyDescent="0.25">
      <c r="A93" s="70">
        <v>70</v>
      </c>
      <c r="B93" s="70"/>
      <c r="C93" s="70"/>
    </row>
    <row r="94" spans="1:3" hidden="1" x14ac:dyDescent="0.25">
      <c r="A94" s="70">
        <v>71</v>
      </c>
      <c r="B94" s="70"/>
      <c r="C94" s="70"/>
    </row>
    <row r="95" spans="1:3" hidden="1" x14ac:dyDescent="0.25">
      <c r="A95" s="70">
        <v>72</v>
      </c>
      <c r="B95" s="70"/>
      <c r="C95" s="70"/>
    </row>
    <row r="96" spans="1:3" hidden="1" x14ac:dyDescent="0.25">
      <c r="A96" s="70">
        <v>73</v>
      </c>
      <c r="B96" s="70"/>
      <c r="C96" s="70"/>
    </row>
    <row r="97" spans="1:3" hidden="1" x14ac:dyDescent="0.25">
      <c r="A97" s="70">
        <v>74</v>
      </c>
      <c r="B97" s="70"/>
      <c r="C97" s="70"/>
    </row>
    <row r="98" spans="1:3" hidden="1" x14ac:dyDescent="0.25">
      <c r="A98" s="70">
        <v>75</v>
      </c>
      <c r="B98" s="70"/>
      <c r="C98" s="70"/>
    </row>
    <row r="99" spans="1:3" hidden="1" x14ac:dyDescent="0.25">
      <c r="A99" s="70"/>
      <c r="B99" s="70"/>
      <c r="C99" s="70"/>
    </row>
    <row r="100" spans="1:3" hidden="1" x14ac:dyDescent="0.25">
      <c r="A100" s="70"/>
      <c r="B100" s="70"/>
      <c r="C100" s="70"/>
    </row>
    <row r="101" spans="1:3" hidden="1" x14ac:dyDescent="0.25">
      <c r="A101" s="70">
        <v>76</v>
      </c>
      <c r="B101" s="70"/>
      <c r="C101" s="70"/>
    </row>
    <row r="102" spans="1:3" hidden="1" x14ac:dyDescent="0.25">
      <c r="A102" s="70">
        <v>77</v>
      </c>
      <c r="B102" s="70"/>
      <c r="C102" s="70"/>
    </row>
    <row r="103" spans="1:3" hidden="1" x14ac:dyDescent="0.25">
      <c r="A103" s="70">
        <v>78</v>
      </c>
      <c r="B103" s="70"/>
      <c r="C103" s="70"/>
    </row>
    <row r="104" spans="1:3" hidden="1" x14ac:dyDescent="0.25">
      <c r="A104" s="70">
        <v>79</v>
      </c>
      <c r="B104" s="70"/>
      <c r="C104" s="70"/>
    </row>
    <row r="105" spans="1:3" hidden="1" x14ac:dyDescent="0.25">
      <c r="A105" s="70">
        <v>80</v>
      </c>
      <c r="B105" s="70"/>
      <c r="C105" s="70"/>
    </row>
    <row r="106" spans="1:3" hidden="1" x14ac:dyDescent="0.25">
      <c r="A106" s="70">
        <v>81</v>
      </c>
      <c r="B106" s="70"/>
      <c r="C106" s="70"/>
    </row>
    <row r="107" spans="1:3" hidden="1" x14ac:dyDescent="0.25">
      <c r="A107" s="70">
        <v>82</v>
      </c>
      <c r="B107" s="70"/>
      <c r="C107" s="70"/>
    </row>
    <row r="108" spans="1:3" hidden="1" x14ac:dyDescent="0.25">
      <c r="A108" s="70">
        <v>83</v>
      </c>
      <c r="B108" s="70"/>
      <c r="C108" s="70"/>
    </row>
    <row r="109" spans="1:3" hidden="1" x14ac:dyDescent="0.25">
      <c r="A109" s="70">
        <v>84</v>
      </c>
      <c r="B109" s="70"/>
      <c r="C109" s="70"/>
    </row>
    <row r="110" spans="1:3" hidden="1" x14ac:dyDescent="0.25">
      <c r="A110" s="70">
        <v>85</v>
      </c>
      <c r="B110" s="70"/>
      <c r="C110" s="70"/>
    </row>
    <row r="111" spans="1:3" hidden="1" x14ac:dyDescent="0.25">
      <c r="A111" s="70">
        <v>86</v>
      </c>
      <c r="B111" s="70"/>
      <c r="C111" s="70"/>
    </row>
    <row r="112" spans="1:3" hidden="1" x14ac:dyDescent="0.25">
      <c r="A112" s="70">
        <v>87</v>
      </c>
      <c r="B112" s="70"/>
      <c r="C112" s="70"/>
    </row>
    <row r="113" spans="1:3" hidden="1" x14ac:dyDescent="0.25">
      <c r="A113" s="70">
        <v>88</v>
      </c>
      <c r="B113" s="70"/>
      <c r="C113" s="70"/>
    </row>
    <row r="114" spans="1:3" hidden="1" x14ac:dyDescent="0.25">
      <c r="A114" s="70">
        <v>89</v>
      </c>
      <c r="B114" s="70"/>
      <c r="C114" s="70"/>
    </row>
    <row r="115" spans="1:3" hidden="1" x14ac:dyDescent="0.25">
      <c r="A115" s="70">
        <v>90</v>
      </c>
      <c r="B115" s="70"/>
      <c r="C115" s="70"/>
    </row>
    <row r="116" spans="1:3" hidden="1" x14ac:dyDescent="0.25">
      <c r="A116" s="70">
        <v>91</v>
      </c>
      <c r="B116" s="70"/>
      <c r="C116" s="70"/>
    </row>
    <row r="117" spans="1:3" hidden="1" x14ac:dyDescent="0.25">
      <c r="A117" s="70">
        <v>92</v>
      </c>
      <c r="B117" s="70"/>
      <c r="C117" s="70"/>
    </row>
    <row r="118" spans="1:3" hidden="1" x14ac:dyDescent="0.25">
      <c r="A118" s="70">
        <v>93</v>
      </c>
      <c r="B118" s="70"/>
      <c r="C118" s="70"/>
    </row>
    <row r="119" spans="1:3" hidden="1" x14ac:dyDescent="0.25">
      <c r="A119" s="70">
        <v>94</v>
      </c>
      <c r="B119" s="70"/>
      <c r="C119" s="70"/>
    </row>
    <row r="120" spans="1:3" hidden="1" x14ac:dyDescent="0.25">
      <c r="A120" s="70">
        <v>95</v>
      </c>
      <c r="B120" s="70"/>
      <c r="C120" s="70"/>
    </row>
    <row r="121" spans="1:3" hidden="1" x14ac:dyDescent="0.25">
      <c r="A121" s="70">
        <v>96</v>
      </c>
      <c r="B121" s="70"/>
      <c r="C121" s="70"/>
    </row>
    <row r="122" spans="1:3" hidden="1" x14ac:dyDescent="0.25">
      <c r="A122" s="70">
        <v>97</v>
      </c>
      <c r="B122" s="70"/>
      <c r="C122" s="70"/>
    </row>
    <row r="123" spans="1:3" hidden="1" x14ac:dyDescent="0.25">
      <c r="A123" s="70">
        <v>98</v>
      </c>
      <c r="B123" s="70"/>
      <c r="C123" s="70"/>
    </row>
    <row r="124" spans="1:3" hidden="1" x14ac:dyDescent="0.25">
      <c r="A124" s="70">
        <v>99</v>
      </c>
      <c r="B124" s="70"/>
      <c r="C124" s="70"/>
    </row>
    <row r="125" spans="1:3" hidden="1" x14ac:dyDescent="0.25">
      <c r="A125" s="70">
        <v>100</v>
      </c>
      <c r="B125" s="70"/>
      <c r="C125" s="70"/>
    </row>
    <row r="126" spans="1:3" hidden="1" x14ac:dyDescent="0.25">
      <c r="A126" s="70">
        <v>101</v>
      </c>
      <c r="B126" s="70"/>
      <c r="C126" s="70"/>
    </row>
    <row r="127" spans="1:3" hidden="1" x14ac:dyDescent="0.25">
      <c r="A127" s="70">
        <v>102</v>
      </c>
      <c r="B127" s="70"/>
      <c r="C127" s="70"/>
    </row>
    <row r="128" spans="1:3" hidden="1" x14ac:dyDescent="0.25">
      <c r="A128" s="70">
        <v>103</v>
      </c>
      <c r="B128" s="70"/>
      <c r="C128" s="70"/>
    </row>
    <row r="129" spans="1:3" hidden="1" x14ac:dyDescent="0.25">
      <c r="A129" s="70">
        <v>104</v>
      </c>
      <c r="B129" s="70"/>
      <c r="C129" s="70"/>
    </row>
    <row r="130" spans="1:3" hidden="1" x14ac:dyDescent="0.25">
      <c r="A130" s="70">
        <v>105</v>
      </c>
      <c r="B130" s="70"/>
      <c r="C130" s="70"/>
    </row>
    <row r="131" spans="1:3" hidden="1" x14ac:dyDescent="0.25">
      <c r="A131" s="70"/>
      <c r="B131" s="70"/>
      <c r="C131" s="70"/>
    </row>
    <row r="132" spans="1:3" hidden="1" x14ac:dyDescent="0.25">
      <c r="A132" s="70"/>
      <c r="B132" s="70"/>
      <c r="C132" s="70"/>
    </row>
    <row r="133" spans="1:3" hidden="1" x14ac:dyDescent="0.25">
      <c r="A133" s="70"/>
      <c r="B133" s="70"/>
      <c r="C133" s="70"/>
    </row>
    <row r="134" spans="1:3" hidden="1" x14ac:dyDescent="0.25">
      <c r="A134" s="70"/>
      <c r="B134" s="70"/>
      <c r="C134" s="70"/>
    </row>
    <row r="135" spans="1:3" hidden="1" x14ac:dyDescent="0.25">
      <c r="A135" s="70"/>
      <c r="B135" s="70"/>
      <c r="C135" s="70"/>
    </row>
    <row r="136" spans="1:3" hidden="1" x14ac:dyDescent="0.25">
      <c r="A136" s="70"/>
      <c r="B136" s="70"/>
      <c r="C136" s="70"/>
    </row>
    <row r="137" spans="1:3" hidden="1" x14ac:dyDescent="0.25">
      <c r="A137" s="70"/>
      <c r="B137" s="70"/>
      <c r="C137" s="70"/>
    </row>
    <row r="138" spans="1:3" hidden="1" x14ac:dyDescent="0.25">
      <c r="A138" s="70"/>
      <c r="B138" s="70"/>
      <c r="C138" s="70"/>
    </row>
    <row r="139" spans="1:3" hidden="1" x14ac:dyDescent="0.25">
      <c r="A139" s="70"/>
      <c r="B139" s="70"/>
      <c r="C139" s="70"/>
    </row>
    <row r="140" spans="1:3" hidden="1" x14ac:dyDescent="0.25">
      <c r="A140" s="70"/>
      <c r="B140" s="70"/>
      <c r="C140" s="70"/>
    </row>
    <row r="141" spans="1:3" hidden="1" x14ac:dyDescent="0.25">
      <c r="A141" s="70"/>
      <c r="B141" s="70"/>
      <c r="C141" s="70"/>
    </row>
    <row r="142" spans="1:3" hidden="1" x14ac:dyDescent="0.25">
      <c r="A142" s="70"/>
      <c r="B142" s="70"/>
      <c r="C142" s="70"/>
    </row>
    <row r="143" spans="1:3" hidden="1" x14ac:dyDescent="0.25">
      <c r="A143" s="70"/>
      <c r="B143" s="70"/>
      <c r="C143" s="70"/>
    </row>
    <row r="144" spans="1:3" hidden="1" x14ac:dyDescent="0.25">
      <c r="A144" s="70"/>
      <c r="B144" s="70"/>
      <c r="C144" s="70"/>
    </row>
    <row r="145" spans="1:3" hidden="1" x14ac:dyDescent="0.25">
      <c r="A145" s="70"/>
      <c r="B145" s="70"/>
      <c r="C145" s="70"/>
    </row>
    <row r="146" spans="1:3" hidden="1" x14ac:dyDescent="0.25">
      <c r="A146" s="70"/>
      <c r="B146" s="70"/>
      <c r="C146" s="70"/>
    </row>
    <row r="147" spans="1:3" hidden="1" x14ac:dyDescent="0.25">
      <c r="A147" s="70"/>
      <c r="B147" s="70"/>
      <c r="C147" s="70"/>
    </row>
    <row r="148" spans="1:3" hidden="1" x14ac:dyDescent="0.25">
      <c r="A148" s="70"/>
      <c r="B148" s="70"/>
      <c r="C148" s="70"/>
    </row>
    <row r="149" spans="1:3" hidden="1" x14ac:dyDescent="0.25">
      <c r="A149" s="70"/>
      <c r="B149" s="70"/>
      <c r="C149" s="70"/>
    </row>
    <row r="150" spans="1:3" hidden="1" x14ac:dyDescent="0.25">
      <c r="A150" s="70"/>
      <c r="B150" s="70"/>
      <c r="C150" s="70"/>
    </row>
    <row r="151" spans="1:3" hidden="1" x14ac:dyDescent="0.25">
      <c r="A151" s="70"/>
      <c r="B151" s="70"/>
      <c r="C151" s="70"/>
    </row>
    <row r="152" spans="1:3" hidden="1" x14ac:dyDescent="0.25">
      <c r="A152" s="70"/>
      <c r="B152" s="70"/>
      <c r="C152" s="70"/>
    </row>
    <row r="153" spans="1:3" hidden="1" x14ac:dyDescent="0.25">
      <c r="A153" s="70"/>
      <c r="B153" s="70"/>
      <c r="C153" s="70"/>
    </row>
    <row r="154" spans="1:3" hidden="1" x14ac:dyDescent="0.25">
      <c r="A154" s="70"/>
      <c r="B154" s="70"/>
      <c r="C154" s="70"/>
    </row>
    <row r="155" spans="1:3" hidden="1" x14ac:dyDescent="0.25">
      <c r="A155" s="70"/>
      <c r="B155" s="70"/>
      <c r="C155" s="70"/>
    </row>
    <row r="156" spans="1:3" hidden="1" x14ac:dyDescent="0.25">
      <c r="A156" s="70"/>
      <c r="B156" s="70"/>
      <c r="C156" s="70"/>
    </row>
    <row r="157" spans="1:3" hidden="1" x14ac:dyDescent="0.25">
      <c r="A157" s="70"/>
      <c r="B157" s="70"/>
      <c r="C157" s="70"/>
    </row>
    <row r="158" spans="1:3" hidden="1" x14ac:dyDescent="0.25">
      <c r="A158" s="70"/>
      <c r="B158" s="70"/>
      <c r="C158" s="70"/>
    </row>
    <row r="159" spans="1:3" hidden="1" x14ac:dyDescent="0.25">
      <c r="A159" s="70"/>
      <c r="B159" s="70"/>
      <c r="C159" s="70"/>
    </row>
    <row r="160" spans="1:3" hidden="1" x14ac:dyDescent="0.25">
      <c r="A160" s="70"/>
      <c r="B160" s="70"/>
      <c r="C160" s="70"/>
    </row>
    <row r="161" spans="1:3" hidden="1" x14ac:dyDescent="0.25">
      <c r="A161" s="70"/>
      <c r="B161" s="70"/>
      <c r="C161" s="70"/>
    </row>
    <row r="162" spans="1:3" hidden="1" x14ac:dyDescent="0.25">
      <c r="A162" s="70"/>
      <c r="B162" s="70"/>
      <c r="C162" s="70"/>
    </row>
    <row r="163" spans="1:3" hidden="1" x14ac:dyDescent="0.25">
      <c r="A163" s="70"/>
      <c r="B163" s="70"/>
      <c r="C163" s="70"/>
    </row>
    <row r="164" spans="1:3" hidden="1" x14ac:dyDescent="0.25">
      <c r="A164" s="70"/>
      <c r="B164" s="70"/>
      <c r="C164" s="70"/>
    </row>
    <row r="165" spans="1:3" hidden="1" x14ac:dyDescent="0.25">
      <c r="A165" s="70"/>
      <c r="B165" s="70"/>
      <c r="C165" s="70"/>
    </row>
    <row r="166" spans="1:3" hidden="1" x14ac:dyDescent="0.25">
      <c r="A166" s="70"/>
      <c r="B166" s="70"/>
      <c r="C166" s="70"/>
    </row>
    <row r="167" spans="1:3" hidden="1" x14ac:dyDescent="0.25">
      <c r="A167" s="70"/>
      <c r="B167" s="70"/>
      <c r="C167" s="70"/>
    </row>
    <row r="168" spans="1:3" hidden="1" x14ac:dyDescent="0.25">
      <c r="A168" s="70"/>
      <c r="B168" s="70"/>
      <c r="C168" s="70"/>
    </row>
    <row r="169" spans="1:3" hidden="1" x14ac:dyDescent="0.25">
      <c r="A169" s="70"/>
      <c r="B169" s="70"/>
      <c r="C169" s="70"/>
    </row>
    <row r="170" spans="1:3" hidden="1" x14ac:dyDescent="0.25">
      <c r="A170" s="70"/>
      <c r="B170" s="70"/>
      <c r="C170" s="70"/>
    </row>
    <row r="171" spans="1:3" hidden="1" x14ac:dyDescent="0.25">
      <c r="A171" s="70"/>
      <c r="B171" s="70"/>
      <c r="C171" s="70"/>
    </row>
    <row r="172" spans="1:3" hidden="1" x14ac:dyDescent="0.25">
      <c r="A172" s="70"/>
      <c r="B172" s="70"/>
      <c r="C172" s="70"/>
    </row>
    <row r="173" spans="1:3" hidden="1" x14ac:dyDescent="0.25">
      <c r="A173" s="70"/>
      <c r="B173" s="70"/>
      <c r="C173" s="70"/>
    </row>
    <row r="174" spans="1:3" hidden="1" x14ac:dyDescent="0.25">
      <c r="A174" s="70"/>
      <c r="B174" s="70"/>
      <c r="C174" s="70"/>
    </row>
    <row r="175" spans="1:3" hidden="1" x14ac:dyDescent="0.25">
      <c r="A175" s="70"/>
      <c r="B175" s="70"/>
      <c r="C175" s="70"/>
    </row>
    <row r="176" spans="1:3" hidden="1" x14ac:dyDescent="0.25">
      <c r="A176" s="70"/>
      <c r="B176" s="70"/>
      <c r="C176" s="70"/>
    </row>
    <row r="177" spans="1:3" hidden="1" x14ac:dyDescent="0.25">
      <c r="A177" s="70"/>
      <c r="B177" s="70"/>
      <c r="C177" s="70"/>
    </row>
    <row r="178" spans="1:3" hidden="1" x14ac:dyDescent="0.25">
      <c r="A178" s="70"/>
      <c r="B178" s="70"/>
      <c r="C178" s="70"/>
    </row>
    <row r="179" spans="1:3" hidden="1" x14ac:dyDescent="0.25">
      <c r="A179" s="70"/>
      <c r="B179" s="70"/>
      <c r="C179" s="70"/>
    </row>
    <row r="180" spans="1:3" hidden="1" x14ac:dyDescent="0.25">
      <c r="A180" s="70"/>
      <c r="B180" s="70"/>
      <c r="C180" s="70"/>
    </row>
    <row r="181" spans="1:3" hidden="1" x14ac:dyDescent="0.25">
      <c r="A181" s="70"/>
      <c r="B181" s="70"/>
      <c r="C181" s="70"/>
    </row>
    <row r="182" spans="1:3" hidden="1" x14ac:dyDescent="0.25">
      <c r="A182" s="70"/>
      <c r="B182" s="70"/>
      <c r="C182" s="70"/>
    </row>
    <row r="183" spans="1:3" hidden="1" x14ac:dyDescent="0.25">
      <c r="A183" s="70"/>
      <c r="B183" s="70"/>
      <c r="C183" s="70"/>
    </row>
    <row r="184" spans="1:3" hidden="1" x14ac:dyDescent="0.25">
      <c r="A184" s="70"/>
      <c r="B184" s="70"/>
      <c r="C184" s="70"/>
    </row>
    <row r="185" spans="1:3" hidden="1" x14ac:dyDescent="0.25">
      <c r="A185" s="70"/>
      <c r="B185" s="70"/>
      <c r="C185" s="70"/>
    </row>
    <row r="186" spans="1:3" hidden="1" x14ac:dyDescent="0.25">
      <c r="A186" s="70"/>
      <c r="B186" s="70"/>
      <c r="C186" s="70"/>
    </row>
    <row r="187" spans="1:3" hidden="1" x14ac:dyDescent="0.25">
      <c r="A187" s="70"/>
      <c r="B187" s="70"/>
      <c r="C187" s="70"/>
    </row>
    <row r="188" spans="1:3" hidden="1" x14ac:dyDescent="0.25">
      <c r="A188" s="70"/>
      <c r="B188" s="70"/>
      <c r="C188" s="70"/>
    </row>
    <row r="189" spans="1:3" hidden="1" x14ac:dyDescent="0.25">
      <c r="A189" s="70"/>
      <c r="B189" s="70"/>
      <c r="C189" s="70"/>
    </row>
    <row r="190" spans="1:3" hidden="1" x14ac:dyDescent="0.25">
      <c r="A190" s="70"/>
      <c r="B190" s="70"/>
      <c r="C190" s="70"/>
    </row>
    <row r="191" spans="1:3" hidden="1" x14ac:dyDescent="0.25">
      <c r="A191" s="70"/>
      <c r="B191" s="70"/>
      <c r="C191" s="70"/>
    </row>
    <row r="192" spans="1:3" hidden="1" x14ac:dyDescent="0.25">
      <c r="A192" s="70"/>
      <c r="B192" s="70"/>
      <c r="C192" s="70"/>
    </row>
    <row r="193" spans="1:3" hidden="1" x14ac:dyDescent="0.25">
      <c r="A193" s="70"/>
      <c r="B193" s="70"/>
      <c r="C193" s="70"/>
    </row>
    <row r="194" spans="1:3" hidden="1" x14ac:dyDescent="0.25">
      <c r="A194" s="70"/>
      <c r="B194" s="70"/>
      <c r="C194" s="70"/>
    </row>
    <row r="195" spans="1:3" hidden="1" x14ac:dyDescent="0.25">
      <c r="A195" s="70"/>
      <c r="B195" s="70"/>
      <c r="C195" s="70"/>
    </row>
    <row r="196" spans="1:3" hidden="1" x14ac:dyDescent="0.25">
      <c r="A196" s="70"/>
      <c r="B196" s="70"/>
      <c r="C196" s="70"/>
    </row>
    <row r="197" spans="1:3" hidden="1" x14ac:dyDescent="0.25">
      <c r="A197" s="70"/>
      <c r="B197" s="70"/>
      <c r="C197" s="70"/>
    </row>
    <row r="198" spans="1:3" hidden="1" x14ac:dyDescent="0.25">
      <c r="A198" s="70"/>
      <c r="B198" s="70"/>
      <c r="C198" s="70"/>
    </row>
    <row r="199" spans="1:3" hidden="1" x14ac:dyDescent="0.25">
      <c r="A199" s="70"/>
      <c r="B199" s="70"/>
      <c r="C199" s="70"/>
    </row>
    <row r="200" spans="1:3" hidden="1" x14ac:dyDescent="0.25">
      <c r="A200" s="70"/>
      <c r="B200" s="70"/>
      <c r="C200" s="70"/>
    </row>
    <row r="201" spans="1:3" hidden="1" x14ac:dyDescent="0.25">
      <c r="A201" s="70"/>
      <c r="B201" s="70"/>
      <c r="C201" s="70"/>
    </row>
    <row r="202" spans="1:3" hidden="1" x14ac:dyDescent="0.25">
      <c r="A202" s="70"/>
      <c r="B202" s="70"/>
      <c r="C202" s="70"/>
    </row>
    <row r="203" spans="1:3" hidden="1" x14ac:dyDescent="0.25">
      <c r="A203" s="70"/>
      <c r="B203" s="70"/>
      <c r="C203" s="70"/>
    </row>
    <row r="204" spans="1:3" hidden="1" x14ac:dyDescent="0.25">
      <c r="A204" s="70"/>
      <c r="B204" s="70"/>
      <c r="C204" s="70"/>
    </row>
    <row r="205" spans="1:3" hidden="1" x14ac:dyDescent="0.25">
      <c r="A205" s="70"/>
      <c r="B205" s="70"/>
      <c r="C205" s="70"/>
    </row>
    <row r="206" spans="1:3" hidden="1" x14ac:dyDescent="0.25">
      <c r="A206" s="70"/>
      <c r="B206" s="70"/>
      <c r="C206" s="70"/>
    </row>
    <row r="207" spans="1:3" hidden="1" x14ac:dyDescent="0.25">
      <c r="A207" s="70"/>
      <c r="B207" s="70"/>
      <c r="C207" s="70"/>
    </row>
    <row r="208" spans="1:3" hidden="1" x14ac:dyDescent="0.25">
      <c r="A208" s="70"/>
      <c r="B208" s="70"/>
      <c r="C208" s="70"/>
    </row>
    <row r="209" spans="1:3" hidden="1" x14ac:dyDescent="0.25">
      <c r="A209" s="70"/>
      <c r="B209" s="70"/>
      <c r="C209" s="70"/>
    </row>
    <row r="210" spans="1:3" hidden="1" x14ac:dyDescent="0.25">
      <c r="A210" s="70"/>
      <c r="B210" s="70"/>
      <c r="C210" s="70"/>
    </row>
    <row r="211" spans="1:3" hidden="1" x14ac:dyDescent="0.25">
      <c r="A211" s="70"/>
      <c r="B211" s="70"/>
      <c r="C211" s="70"/>
    </row>
    <row r="212" spans="1:3" x14ac:dyDescent="0.25">
      <c r="A212" s="70"/>
      <c r="B212" s="70"/>
      <c r="C212" s="70"/>
    </row>
    <row r="213" spans="1:3" x14ac:dyDescent="0.25">
      <c r="A213" s="70"/>
      <c r="B213" s="70"/>
      <c r="C213" s="70"/>
    </row>
    <row r="214" spans="1:3" x14ac:dyDescent="0.25">
      <c r="A214" s="70"/>
      <c r="B214" s="70"/>
      <c r="C214" s="70"/>
    </row>
    <row r="215" spans="1:3" x14ac:dyDescent="0.25">
      <c r="A215" s="70"/>
      <c r="B215" s="70"/>
      <c r="C215" s="70"/>
    </row>
    <row r="216" spans="1:3" x14ac:dyDescent="0.25">
      <c r="A216" s="70"/>
      <c r="B216" s="70"/>
      <c r="C216" s="70"/>
    </row>
    <row r="217" spans="1:3" x14ac:dyDescent="0.25">
      <c r="A217" s="70"/>
      <c r="B217" s="70"/>
      <c r="C217" s="70"/>
    </row>
    <row r="218" spans="1:3" x14ac:dyDescent="0.25">
      <c r="A218" s="70"/>
      <c r="B218" s="70"/>
      <c r="C218" s="70"/>
    </row>
    <row r="219" spans="1:3" x14ac:dyDescent="0.25">
      <c r="A219" s="70"/>
      <c r="B219" s="70"/>
      <c r="C219" s="70"/>
    </row>
    <row r="220" spans="1:3" x14ac:dyDescent="0.25">
      <c r="A220" s="70"/>
      <c r="B220" s="70"/>
      <c r="C220" s="70"/>
    </row>
    <row r="221" spans="1:3" x14ac:dyDescent="0.25">
      <c r="A221" s="70"/>
      <c r="B221" s="70"/>
      <c r="C221" s="70"/>
    </row>
    <row r="222" spans="1:3" x14ac:dyDescent="0.25">
      <c r="A222" s="70"/>
      <c r="B222" s="70"/>
      <c r="C222" s="70"/>
    </row>
    <row r="223" spans="1:3" x14ac:dyDescent="0.25">
      <c r="A223" s="70"/>
      <c r="B223" s="70"/>
      <c r="C223" s="70"/>
    </row>
    <row r="224" spans="1:3" x14ac:dyDescent="0.25">
      <c r="A224" s="70"/>
      <c r="B224" s="70"/>
      <c r="C224" s="70"/>
    </row>
    <row r="225" spans="1:3" x14ac:dyDescent="0.25">
      <c r="A225" s="70"/>
      <c r="B225" s="70"/>
      <c r="C225" s="70"/>
    </row>
    <row r="226" spans="1:3" x14ac:dyDescent="0.25">
      <c r="A226" s="70"/>
      <c r="B226" s="70"/>
      <c r="C226" s="70"/>
    </row>
    <row r="227" spans="1:3" x14ac:dyDescent="0.25">
      <c r="A227" s="70"/>
      <c r="B227" s="70"/>
      <c r="C227" s="70"/>
    </row>
    <row r="228" spans="1:3" x14ac:dyDescent="0.25">
      <c r="A228" s="70"/>
      <c r="B228" s="70"/>
      <c r="C228" s="70"/>
    </row>
    <row r="229" spans="1:3" x14ac:dyDescent="0.25">
      <c r="A229" s="70"/>
      <c r="B229" s="70"/>
      <c r="C229" s="70"/>
    </row>
    <row r="230" spans="1:3" x14ac:dyDescent="0.25">
      <c r="A230" s="70"/>
      <c r="B230" s="70"/>
      <c r="C230" s="70"/>
    </row>
    <row r="231" spans="1:3" x14ac:dyDescent="0.25">
      <c r="A231" s="70"/>
      <c r="B231" s="70"/>
      <c r="C231" s="70"/>
    </row>
    <row r="232" spans="1:3" x14ac:dyDescent="0.25">
      <c r="A232" s="70"/>
      <c r="B232" s="70"/>
      <c r="C232" s="70"/>
    </row>
    <row r="233" spans="1:3" x14ac:dyDescent="0.25">
      <c r="A233" s="70"/>
      <c r="B233" s="70"/>
      <c r="C233" s="70"/>
    </row>
    <row r="234" spans="1:3" x14ac:dyDescent="0.25">
      <c r="A234" s="70"/>
      <c r="B234" s="70"/>
      <c r="C234" s="70"/>
    </row>
    <row r="235" spans="1:3" x14ac:dyDescent="0.25">
      <c r="A235" s="70"/>
      <c r="B235" s="70"/>
      <c r="C235" s="70"/>
    </row>
    <row r="236" spans="1:3" x14ac:dyDescent="0.25">
      <c r="A236" s="70"/>
      <c r="B236" s="70"/>
      <c r="C236" s="70"/>
    </row>
    <row r="237" spans="1:3" x14ac:dyDescent="0.25">
      <c r="A237" s="70"/>
      <c r="B237" s="70"/>
      <c r="C237" s="70"/>
    </row>
    <row r="238" spans="1:3" x14ac:dyDescent="0.25">
      <c r="A238" s="70"/>
      <c r="B238" s="70"/>
      <c r="C238" s="70"/>
    </row>
    <row r="239" spans="1:3" x14ac:dyDescent="0.25">
      <c r="A239" s="70"/>
      <c r="B239" s="70"/>
      <c r="C239" s="70"/>
    </row>
    <row r="240" spans="1:3" x14ac:dyDescent="0.25">
      <c r="A240" s="70"/>
      <c r="B240" s="70"/>
      <c r="C240" s="70"/>
    </row>
    <row r="241" spans="1:3" x14ac:dyDescent="0.25">
      <c r="A241" s="70"/>
      <c r="B241" s="70"/>
      <c r="C241" s="70"/>
    </row>
    <row r="242" spans="1:3" x14ac:dyDescent="0.25">
      <c r="A242" s="70"/>
      <c r="B242" s="70"/>
      <c r="C242" s="70"/>
    </row>
    <row r="243" spans="1:3" x14ac:dyDescent="0.25">
      <c r="A243" s="70"/>
      <c r="B243" s="70"/>
      <c r="C243" s="70"/>
    </row>
    <row r="244" spans="1:3" x14ac:dyDescent="0.25">
      <c r="A244" s="70"/>
      <c r="B244" s="70"/>
      <c r="C244" s="70"/>
    </row>
    <row r="245" spans="1:3" x14ac:dyDescent="0.25">
      <c r="A245" s="70"/>
      <c r="B245" s="70"/>
      <c r="C245" s="70"/>
    </row>
    <row r="246" spans="1:3" x14ac:dyDescent="0.25">
      <c r="A246" s="70"/>
      <c r="B246" s="70"/>
      <c r="C246" s="70"/>
    </row>
    <row r="247" spans="1:3" x14ac:dyDescent="0.25">
      <c r="A247" s="70"/>
      <c r="B247" s="70"/>
      <c r="C247" s="70"/>
    </row>
    <row r="248" spans="1:3" x14ac:dyDescent="0.25">
      <c r="A248" s="70"/>
      <c r="B248" s="70"/>
      <c r="C248" s="70"/>
    </row>
    <row r="249" spans="1:3" x14ac:dyDescent="0.25">
      <c r="A249" s="70"/>
      <c r="B249" s="70"/>
      <c r="C249" s="70"/>
    </row>
    <row r="250" spans="1:3" x14ac:dyDescent="0.25">
      <c r="A250" s="70"/>
      <c r="B250" s="70"/>
      <c r="C250" s="70"/>
    </row>
    <row r="251" spans="1:3" x14ac:dyDescent="0.25">
      <c r="A251" s="70"/>
      <c r="B251" s="70"/>
      <c r="C251" s="70"/>
    </row>
    <row r="252" spans="1:3" x14ac:dyDescent="0.25">
      <c r="A252" s="70"/>
      <c r="B252" s="70"/>
      <c r="C252" s="70"/>
    </row>
    <row r="253" spans="1:3" x14ac:dyDescent="0.25">
      <c r="A253" s="70"/>
      <c r="B253" s="70"/>
      <c r="C253" s="70"/>
    </row>
    <row r="254" spans="1:3" x14ac:dyDescent="0.25">
      <c r="A254" s="70"/>
      <c r="B254" s="70"/>
      <c r="C254" s="70"/>
    </row>
    <row r="255" spans="1:3" x14ac:dyDescent="0.25">
      <c r="A255" s="70"/>
      <c r="B255" s="70"/>
      <c r="C255" s="70"/>
    </row>
    <row r="256" spans="1:3" x14ac:dyDescent="0.25">
      <c r="A256" s="70"/>
      <c r="B256" s="70"/>
      <c r="C256" s="70"/>
    </row>
    <row r="257" spans="1:3" x14ac:dyDescent="0.25">
      <c r="A257" s="70"/>
      <c r="B257" s="70"/>
      <c r="C257" s="70"/>
    </row>
    <row r="258" spans="1:3" x14ac:dyDescent="0.25">
      <c r="A258" s="70"/>
      <c r="B258" s="70"/>
      <c r="C258" s="70"/>
    </row>
    <row r="259" spans="1:3" x14ac:dyDescent="0.25">
      <c r="A259" s="70"/>
      <c r="B259" s="70"/>
      <c r="C259" s="70"/>
    </row>
    <row r="260" spans="1:3" x14ac:dyDescent="0.25">
      <c r="A260" s="70"/>
      <c r="B260" s="70"/>
      <c r="C260" s="70"/>
    </row>
    <row r="261" spans="1:3" x14ac:dyDescent="0.25">
      <c r="A261" s="70"/>
      <c r="B261" s="70"/>
      <c r="C261" s="70"/>
    </row>
    <row r="262" spans="1:3" x14ac:dyDescent="0.25">
      <c r="A262" s="70"/>
      <c r="B262" s="70"/>
      <c r="C262" s="70"/>
    </row>
    <row r="263" spans="1:3" x14ac:dyDescent="0.25">
      <c r="A263" s="70"/>
      <c r="B263" s="70"/>
      <c r="C263" s="70"/>
    </row>
    <row r="264" spans="1:3" x14ac:dyDescent="0.25">
      <c r="A264" s="70"/>
      <c r="B264" s="70"/>
      <c r="C264" s="70"/>
    </row>
    <row r="265" spans="1:3" x14ac:dyDescent="0.25">
      <c r="A265" s="70"/>
      <c r="B265" s="70"/>
      <c r="C265" s="70"/>
    </row>
    <row r="266" spans="1:3" x14ac:dyDescent="0.25">
      <c r="A266" s="70"/>
      <c r="B266" s="70"/>
      <c r="C266" s="70"/>
    </row>
    <row r="267" spans="1:3" x14ac:dyDescent="0.25">
      <c r="A267" s="70"/>
      <c r="B267" s="70"/>
      <c r="C267" s="70"/>
    </row>
    <row r="268" spans="1:3" x14ac:dyDescent="0.25">
      <c r="A268" s="70"/>
      <c r="B268" s="70"/>
      <c r="C268" s="70"/>
    </row>
    <row r="269" spans="1:3" x14ac:dyDescent="0.25">
      <c r="A269" s="70"/>
      <c r="B269" s="70"/>
      <c r="C269" s="70"/>
    </row>
    <row r="270" spans="1:3" x14ac:dyDescent="0.25">
      <c r="A270" s="70"/>
      <c r="B270" s="70"/>
      <c r="C270" s="70"/>
    </row>
    <row r="271" spans="1:3" x14ac:dyDescent="0.25">
      <c r="A271" s="70"/>
      <c r="B271" s="70"/>
      <c r="C271" s="70"/>
    </row>
    <row r="272" spans="1:3" x14ac:dyDescent="0.25">
      <c r="A272" s="70"/>
      <c r="B272" s="70"/>
      <c r="C272" s="70"/>
    </row>
    <row r="273" spans="1:3" x14ac:dyDescent="0.25">
      <c r="A273" s="70"/>
      <c r="B273" s="70"/>
      <c r="C273" s="70"/>
    </row>
    <row r="274" spans="1:3" x14ac:dyDescent="0.25">
      <c r="A274" s="70"/>
      <c r="B274" s="70"/>
      <c r="C274" s="70"/>
    </row>
    <row r="275" spans="1:3" x14ac:dyDescent="0.25">
      <c r="A275" s="70"/>
      <c r="B275" s="70"/>
      <c r="C275" s="70"/>
    </row>
    <row r="276" spans="1:3" x14ac:dyDescent="0.25">
      <c r="A276" s="70"/>
      <c r="B276" s="70"/>
      <c r="C276" s="70"/>
    </row>
    <row r="277" spans="1:3" x14ac:dyDescent="0.25">
      <c r="A277" s="70"/>
      <c r="B277" s="70"/>
      <c r="C277" s="70"/>
    </row>
    <row r="278" spans="1:3" x14ac:dyDescent="0.25">
      <c r="A278" s="70"/>
      <c r="B278" s="70"/>
      <c r="C278" s="70"/>
    </row>
    <row r="279" spans="1:3" x14ac:dyDescent="0.25">
      <c r="A279" s="70"/>
      <c r="B279" s="70"/>
      <c r="C279" s="70"/>
    </row>
    <row r="280" spans="1:3" x14ac:dyDescent="0.25">
      <c r="A280" s="70"/>
      <c r="B280" s="70"/>
      <c r="C280" s="70"/>
    </row>
    <row r="281" spans="1:3" x14ac:dyDescent="0.25">
      <c r="A281" s="70"/>
      <c r="B281" s="70"/>
      <c r="C281" s="70"/>
    </row>
    <row r="282" spans="1:3" x14ac:dyDescent="0.25">
      <c r="A282" s="70"/>
      <c r="B282" s="70"/>
      <c r="C282" s="70"/>
    </row>
    <row r="283" spans="1:3" x14ac:dyDescent="0.25">
      <c r="A283" s="70"/>
      <c r="B283" s="70"/>
      <c r="C283" s="70"/>
    </row>
    <row r="284" spans="1:3" x14ac:dyDescent="0.25">
      <c r="A284" s="70"/>
      <c r="B284" s="70"/>
      <c r="C284" s="70"/>
    </row>
    <row r="285" spans="1:3" x14ac:dyDescent="0.25">
      <c r="A285" s="70"/>
      <c r="B285" s="70"/>
      <c r="C285" s="70"/>
    </row>
    <row r="286" spans="1:3" x14ac:dyDescent="0.25">
      <c r="A286" s="70"/>
      <c r="B286" s="70"/>
      <c r="C286" s="70"/>
    </row>
    <row r="287" spans="1:3" x14ac:dyDescent="0.25">
      <c r="A287" s="70"/>
      <c r="B287" s="70"/>
      <c r="C287" s="70"/>
    </row>
    <row r="288" spans="1:3" x14ac:dyDescent="0.25">
      <c r="A288" s="70"/>
      <c r="B288" s="70"/>
      <c r="C288" s="70"/>
    </row>
    <row r="289" spans="1:3" x14ac:dyDescent="0.25">
      <c r="A289" s="70"/>
      <c r="B289" s="70"/>
      <c r="C289" s="70"/>
    </row>
    <row r="290" spans="1:3" x14ac:dyDescent="0.25">
      <c r="A290" s="70"/>
      <c r="B290" s="70"/>
      <c r="C290" s="70"/>
    </row>
    <row r="291" spans="1:3" x14ac:dyDescent="0.25">
      <c r="A291" s="70"/>
      <c r="B291" s="70"/>
      <c r="C291" s="70"/>
    </row>
    <row r="292" spans="1:3" x14ac:dyDescent="0.25">
      <c r="A292" s="70"/>
      <c r="B292" s="70"/>
      <c r="C292" s="70"/>
    </row>
    <row r="293" spans="1:3" x14ac:dyDescent="0.25">
      <c r="A293" s="70"/>
      <c r="B293" s="70"/>
      <c r="C293" s="70"/>
    </row>
    <row r="294" spans="1:3" x14ac:dyDescent="0.25">
      <c r="A294" s="70"/>
      <c r="B294" s="70"/>
      <c r="C294" s="70"/>
    </row>
    <row r="295" spans="1:3" x14ac:dyDescent="0.25">
      <c r="A295" s="70"/>
      <c r="B295" s="70"/>
      <c r="C295" s="70"/>
    </row>
    <row r="296" spans="1:3" x14ac:dyDescent="0.25">
      <c r="A296" s="70"/>
      <c r="B296" s="70"/>
      <c r="C296" s="70"/>
    </row>
    <row r="297" spans="1:3" x14ac:dyDescent="0.25">
      <c r="A297" s="70"/>
      <c r="B297" s="70"/>
      <c r="C297" s="70"/>
    </row>
    <row r="298" spans="1:3" x14ac:dyDescent="0.25">
      <c r="A298" s="70"/>
      <c r="B298" s="70"/>
      <c r="C298" s="70"/>
    </row>
    <row r="299" spans="1:3" x14ac:dyDescent="0.25">
      <c r="A299" s="70"/>
      <c r="B299" s="70"/>
      <c r="C299" s="70"/>
    </row>
    <row r="300" spans="1:3" x14ac:dyDescent="0.25">
      <c r="A300" s="70"/>
      <c r="B300" s="70"/>
      <c r="C300" s="70"/>
    </row>
    <row r="301" spans="1:3" x14ac:dyDescent="0.25">
      <c r="A301" s="70"/>
      <c r="B301" s="70"/>
      <c r="C301" s="70"/>
    </row>
    <row r="302" spans="1:3" x14ac:dyDescent="0.25">
      <c r="A302" s="70"/>
      <c r="B302" s="70"/>
      <c r="C302" s="70"/>
    </row>
    <row r="303" spans="1:3" x14ac:dyDescent="0.25">
      <c r="A303" s="70"/>
      <c r="B303" s="70"/>
      <c r="C303" s="70"/>
    </row>
    <row r="304" spans="1:3" x14ac:dyDescent="0.25">
      <c r="A304" s="70"/>
      <c r="B304" s="70"/>
      <c r="C304" s="70"/>
    </row>
    <row r="305" spans="1:3" x14ac:dyDescent="0.25">
      <c r="A305" s="70"/>
      <c r="B305" s="70"/>
      <c r="C305" s="70"/>
    </row>
    <row r="306" spans="1:3" x14ac:dyDescent="0.25">
      <c r="A306" s="70"/>
      <c r="B306" s="70"/>
      <c r="C306" s="70"/>
    </row>
    <row r="307" spans="1:3" x14ac:dyDescent="0.25">
      <c r="A307" s="70"/>
      <c r="B307" s="70"/>
      <c r="C307" s="70"/>
    </row>
    <row r="308" spans="1:3" x14ac:dyDescent="0.25">
      <c r="A308" s="70"/>
      <c r="B308" s="70"/>
      <c r="C308" s="70"/>
    </row>
    <row r="309" spans="1:3" x14ac:dyDescent="0.25">
      <c r="A309" s="70"/>
      <c r="B309" s="70"/>
      <c r="C309" s="70"/>
    </row>
    <row r="310" spans="1:3" x14ac:dyDescent="0.25">
      <c r="A310" s="70"/>
      <c r="B310" s="70"/>
      <c r="C310" s="70"/>
    </row>
    <row r="311" spans="1:3" x14ac:dyDescent="0.25">
      <c r="A311" s="70"/>
      <c r="B311" s="70"/>
      <c r="C311" s="70"/>
    </row>
    <row r="312" spans="1:3" x14ac:dyDescent="0.25">
      <c r="A312" s="70"/>
      <c r="B312" s="70"/>
      <c r="C312" s="70"/>
    </row>
    <row r="313" spans="1:3" x14ac:dyDescent="0.25">
      <c r="A313" s="70"/>
      <c r="B313" s="70"/>
      <c r="C313" s="70"/>
    </row>
    <row r="314" spans="1:3" x14ac:dyDescent="0.25">
      <c r="A314" s="70"/>
      <c r="B314" s="70"/>
      <c r="C314" s="70"/>
    </row>
    <row r="315" spans="1:3" x14ac:dyDescent="0.25">
      <c r="A315" s="70"/>
      <c r="B315" s="70"/>
      <c r="C315" s="70"/>
    </row>
    <row r="316" spans="1:3" x14ac:dyDescent="0.25">
      <c r="A316" s="70"/>
      <c r="B316" s="70"/>
      <c r="C316" s="70"/>
    </row>
    <row r="317" spans="1:3" x14ac:dyDescent="0.25">
      <c r="A317" s="70"/>
      <c r="B317" s="70"/>
      <c r="C317" s="70"/>
    </row>
    <row r="318" spans="1:3" x14ac:dyDescent="0.25">
      <c r="A318" s="70"/>
      <c r="B318" s="70"/>
      <c r="C318" s="70"/>
    </row>
    <row r="319" spans="1:3" x14ac:dyDescent="0.25">
      <c r="A319" s="70"/>
      <c r="B319" s="70"/>
      <c r="C319" s="70"/>
    </row>
    <row r="320" spans="1:3" x14ac:dyDescent="0.25">
      <c r="A320" s="70"/>
      <c r="B320" s="70"/>
      <c r="C320" s="70"/>
    </row>
    <row r="321" spans="1:3" x14ac:dyDescent="0.25">
      <c r="A321" s="70"/>
      <c r="B321" s="70"/>
      <c r="C321" s="70"/>
    </row>
    <row r="322" spans="1:3" x14ac:dyDescent="0.25">
      <c r="A322" s="70"/>
      <c r="B322" s="70"/>
      <c r="C322" s="70"/>
    </row>
    <row r="323" spans="1:3" x14ac:dyDescent="0.25">
      <c r="A323" s="70"/>
      <c r="B323" s="70"/>
      <c r="C323" s="70"/>
    </row>
    <row r="324" spans="1:3" x14ac:dyDescent="0.25">
      <c r="A324" s="70"/>
      <c r="B324" s="70"/>
      <c r="C324" s="70"/>
    </row>
    <row r="325" spans="1:3" x14ac:dyDescent="0.25">
      <c r="A325" s="70"/>
      <c r="B325" s="70"/>
      <c r="C325" s="70"/>
    </row>
    <row r="326" spans="1:3" x14ac:dyDescent="0.25">
      <c r="A326" s="70"/>
      <c r="B326" s="70"/>
      <c r="C326" s="70"/>
    </row>
    <row r="327" spans="1:3" x14ac:dyDescent="0.25">
      <c r="A327" s="70"/>
      <c r="B327" s="70"/>
      <c r="C327" s="70"/>
    </row>
    <row r="328" spans="1:3" x14ac:dyDescent="0.25">
      <c r="A328" s="70"/>
      <c r="B328" s="70"/>
      <c r="C328" s="70"/>
    </row>
    <row r="329" spans="1:3" x14ac:dyDescent="0.25">
      <c r="A329" s="70"/>
      <c r="B329" s="70"/>
      <c r="C329" s="70"/>
    </row>
    <row r="330" spans="1:3" x14ac:dyDescent="0.25">
      <c r="A330" s="70"/>
      <c r="B330" s="70"/>
      <c r="C330" s="70"/>
    </row>
    <row r="331" spans="1:3" x14ac:dyDescent="0.25">
      <c r="A331" s="70"/>
      <c r="B331" s="70"/>
      <c r="C331" s="70"/>
    </row>
    <row r="332" spans="1:3" x14ac:dyDescent="0.25">
      <c r="A332" s="70"/>
      <c r="B332" s="70"/>
      <c r="C332" s="70"/>
    </row>
    <row r="333" spans="1:3" x14ac:dyDescent="0.25">
      <c r="A333" s="70"/>
      <c r="B333" s="70"/>
      <c r="C333" s="70"/>
    </row>
    <row r="334" spans="1:3" x14ac:dyDescent="0.25">
      <c r="A334" s="70"/>
      <c r="B334" s="70"/>
      <c r="C334" s="70"/>
    </row>
    <row r="335" spans="1:3" x14ac:dyDescent="0.25">
      <c r="A335" s="70"/>
      <c r="B335" s="70"/>
      <c r="C335" s="70"/>
    </row>
    <row r="336" spans="1:3" x14ac:dyDescent="0.25">
      <c r="A336" s="70"/>
      <c r="B336" s="70"/>
      <c r="C336" s="70"/>
    </row>
    <row r="337" spans="1:3" x14ac:dyDescent="0.25">
      <c r="A337" s="70"/>
      <c r="B337" s="70"/>
      <c r="C337" s="70"/>
    </row>
    <row r="338" spans="1:3" x14ac:dyDescent="0.25">
      <c r="A338" s="70"/>
      <c r="B338" s="70"/>
      <c r="C338" s="70"/>
    </row>
    <row r="339" spans="1:3" x14ac:dyDescent="0.25">
      <c r="A339" s="70"/>
      <c r="B339" s="70"/>
      <c r="C339" s="70"/>
    </row>
    <row r="340" spans="1:3" x14ac:dyDescent="0.25">
      <c r="A340" s="70"/>
      <c r="B340" s="70"/>
      <c r="C340" s="70"/>
    </row>
    <row r="341" spans="1:3" x14ac:dyDescent="0.25">
      <c r="A341" s="70"/>
      <c r="B341" s="70"/>
      <c r="C341" s="70"/>
    </row>
    <row r="342" spans="1:3" x14ac:dyDescent="0.25">
      <c r="A342" s="70"/>
      <c r="B342" s="70"/>
      <c r="C342" s="70"/>
    </row>
    <row r="343" spans="1:3" x14ac:dyDescent="0.25">
      <c r="A343" s="70"/>
      <c r="B343" s="70"/>
      <c r="C343" s="70"/>
    </row>
    <row r="344" spans="1:3" x14ac:dyDescent="0.25">
      <c r="A344" s="70"/>
      <c r="B344" s="70"/>
      <c r="C344" s="70"/>
    </row>
    <row r="345" spans="1:3" x14ac:dyDescent="0.25">
      <c r="A345" s="70"/>
      <c r="B345" s="70"/>
      <c r="C345" s="70"/>
    </row>
    <row r="346" spans="1:3" x14ac:dyDescent="0.25">
      <c r="A346" s="70"/>
      <c r="B346" s="70"/>
      <c r="C346" s="70"/>
    </row>
    <row r="347" spans="1:3" x14ac:dyDescent="0.25">
      <c r="A347" s="70"/>
      <c r="B347" s="70"/>
      <c r="C347" s="70"/>
    </row>
    <row r="348" spans="1:3" x14ac:dyDescent="0.25">
      <c r="A348" s="70"/>
      <c r="B348" s="70"/>
      <c r="C348" s="70"/>
    </row>
    <row r="349" spans="1:3" x14ac:dyDescent="0.25">
      <c r="A349" s="70"/>
      <c r="B349" s="70"/>
      <c r="C349" s="70"/>
    </row>
    <row r="350" spans="1:3" x14ac:dyDescent="0.25">
      <c r="A350" s="70"/>
      <c r="B350" s="70"/>
      <c r="C350" s="70"/>
    </row>
    <row r="351" spans="1:3" x14ac:dyDescent="0.25">
      <c r="A351" s="70"/>
      <c r="B351" s="70"/>
      <c r="C351" s="70"/>
    </row>
    <row r="352" spans="1:3" x14ac:dyDescent="0.25">
      <c r="A352" s="70"/>
      <c r="B352" s="70"/>
      <c r="C352" s="70"/>
    </row>
    <row r="353" spans="1:3" x14ac:dyDescent="0.25">
      <c r="A353" s="70"/>
      <c r="B353" s="70"/>
      <c r="C353" s="70"/>
    </row>
    <row r="354" spans="1:3" x14ac:dyDescent="0.25">
      <c r="A354" s="70"/>
      <c r="B354" s="70"/>
      <c r="C354" s="70"/>
    </row>
    <row r="355" spans="1:3" x14ac:dyDescent="0.25">
      <c r="A355" s="70"/>
      <c r="B355" s="70"/>
      <c r="C355" s="70"/>
    </row>
    <row r="356" spans="1:3" x14ac:dyDescent="0.25">
      <c r="A356" s="70"/>
      <c r="B356" s="70"/>
      <c r="C356" s="70"/>
    </row>
    <row r="357" spans="1:3" x14ac:dyDescent="0.25">
      <c r="A357" s="70"/>
      <c r="B357" s="70"/>
      <c r="C357" s="70"/>
    </row>
    <row r="358" spans="1:3" x14ac:dyDescent="0.25">
      <c r="A358" s="70"/>
      <c r="B358" s="70"/>
      <c r="C358" s="70"/>
    </row>
    <row r="359" spans="1:3" x14ac:dyDescent="0.25">
      <c r="A359" s="70"/>
      <c r="B359" s="70"/>
      <c r="C359" s="70"/>
    </row>
    <row r="360" spans="1:3" x14ac:dyDescent="0.25">
      <c r="A360" s="70"/>
      <c r="B360" s="70"/>
      <c r="C360" s="70"/>
    </row>
    <row r="361" spans="1:3" x14ac:dyDescent="0.25">
      <c r="A361" s="70"/>
      <c r="B361" s="70"/>
      <c r="C361" s="70"/>
    </row>
    <row r="362" spans="1:3" x14ac:dyDescent="0.25">
      <c r="A362" s="70"/>
      <c r="B362" s="70"/>
      <c r="C362" s="70"/>
    </row>
    <row r="363" spans="1:3" x14ac:dyDescent="0.25">
      <c r="A363" s="70"/>
      <c r="B363" s="70"/>
      <c r="C363" s="70"/>
    </row>
    <row r="364" spans="1:3" x14ac:dyDescent="0.25">
      <c r="A364" s="70"/>
      <c r="B364" s="70"/>
      <c r="C364" s="70"/>
    </row>
    <row r="365" spans="1:3" x14ac:dyDescent="0.25">
      <c r="A365" s="70"/>
      <c r="B365" s="70"/>
      <c r="C365" s="70"/>
    </row>
    <row r="366" spans="1:3" x14ac:dyDescent="0.25">
      <c r="A366" s="70"/>
      <c r="B366" s="70"/>
      <c r="C366" s="70"/>
    </row>
    <row r="367" spans="1:3" x14ac:dyDescent="0.25">
      <c r="A367" s="70"/>
      <c r="B367" s="70"/>
      <c r="C367" s="70"/>
    </row>
    <row r="368" spans="1:3" x14ac:dyDescent="0.25">
      <c r="A368" s="70"/>
      <c r="B368" s="70"/>
      <c r="C368" s="70"/>
    </row>
    <row r="369" spans="1:3" x14ac:dyDescent="0.25">
      <c r="A369" s="70"/>
      <c r="B369" s="70"/>
      <c r="C369" s="70"/>
    </row>
    <row r="370" spans="1:3" x14ac:dyDescent="0.25">
      <c r="A370" s="70"/>
      <c r="B370" s="70"/>
      <c r="C370" s="70"/>
    </row>
    <row r="371" spans="1:3" x14ac:dyDescent="0.25">
      <c r="A371" s="70"/>
      <c r="B371" s="70"/>
      <c r="C371" s="70"/>
    </row>
    <row r="372" spans="1:3" x14ac:dyDescent="0.25">
      <c r="A372" s="70"/>
      <c r="B372" s="70"/>
      <c r="C372" s="70"/>
    </row>
    <row r="373" spans="1:3" x14ac:dyDescent="0.25">
      <c r="A373" s="70"/>
      <c r="B373" s="70"/>
      <c r="C373" s="70"/>
    </row>
    <row r="374" spans="1:3" x14ac:dyDescent="0.25">
      <c r="A374" s="70"/>
      <c r="B374" s="70"/>
      <c r="C374" s="70"/>
    </row>
    <row r="375" spans="1:3" x14ac:dyDescent="0.25">
      <c r="A375" s="70"/>
      <c r="B375" s="70"/>
      <c r="C375" s="70"/>
    </row>
    <row r="376" spans="1:3" x14ac:dyDescent="0.25">
      <c r="A376" s="70"/>
      <c r="B376" s="70"/>
      <c r="C376" s="70"/>
    </row>
    <row r="377" spans="1:3" x14ac:dyDescent="0.25">
      <c r="A377" s="70"/>
      <c r="B377" s="70"/>
      <c r="C377" s="70"/>
    </row>
    <row r="378" spans="1:3" x14ac:dyDescent="0.25">
      <c r="A378" s="70"/>
      <c r="B378" s="70"/>
      <c r="C378" s="70"/>
    </row>
    <row r="379" spans="1:3" x14ac:dyDescent="0.25">
      <c r="A379" s="70"/>
      <c r="B379" s="70"/>
      <c r="C379" s="70"/>
    </row>
    <row r="380" spans="1:3" x14ac:dyDescent="0.25">
      <c r="A380" s="70"/>
      <c r="B380" s="70"/>
      <c r="C380" s="70"/>
    </row>
    <row r="381" spans="1:3" x14ac:dyDescent="0.25">
      <c r="A381" s="70"/>
      <c r="B381" s="70"/>
      <c r="C381" s="70"/>
    </row>
    <row r="382" spans="1:3" x14ac:dyDescent="0.25">
      <c r="A382" s="70"/>
      <c r="B382" s="70"/>
      <c r="C382" s="70"/>
    </row>
    <row r="383" spans="1:3" x14ac:dyDescent="0.25">
      <c r="A383" s="70"/>
      <c r="B383" s="70"/>
      <c r="C383" s="70"/>
    </row>
    <row r="384" spans="1:3" x14ac:dyDescent="0.25">
      <c r="A384" s="70"/>
      <c r="B384" s="70"/>
      <c r="C384" s="70"/>
    </row>
    <row r="385" spans="1:3" x14ac:dyDescent="0.25">
      <c r="A385" s="70"/>
      <c r="B385" s="70"/>
      <c r="C385" s="70"/>
    </row>
    <row r="386" spans="1:3" x14ac:dyDescent="0.25">
      <c r="A386" s="70"/>
      <c r="B386" s="70"/>
      <c r="C386" s="70"/>
    </row>
  </sheetData>
  <mergeCells count="3">
    <mergeCell ref="A2:G2"/>
    <mergeCell ref="A1:G1"/>
    <mergeCell ref="A4:G4"/>
  </mergeCells>
  <hyperlinks>
    <hyperlink ref="H1" location="Munka1!A1" display="Munka1!A1" xr:uid="{00000000-0004-0000-1F00-000000000000}"/>
  </hyperlinks>
  <printOptions horizontalCentered="1"/>
  <pageMargins left="0.74803149606299213" right="0.74803149606299213" top="0.31496062992125984" bottom="0.98425196850393704" header="0.51181102362204722" footer="0.51181102362204722"/>
  <pageSetup paperSize="9" scale="80" orientation="portrait" verticalDpi="7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unka30">
    <tabColor rgb="FF00B050"/>
    <pageSetUpPr fitToPage="1"/>
  </sheetPr>
  <dimension ref="A1:I35"/>
  <sheetViews>
    <sheetView view="pageBreakPreview" topLeftCell="A13" zoomScale="75" zoomScaleNormal="75" zoomScaleSheetLayoutView="75" workbookViewId="0">
      <selection activeCell="B14" sqref="B14"/>
    </sheetView>
  </sheetViews>
  <sheetFormatPr defaultColWidth="9.109375" defaultRowHeight="21" x14ac:dyDescent="0.4"/>
  <cols>
    <col min="1" max="1" width="61" style="581" customWidth="1"/>
    <col min="2" max="2" width="24.109375" style="582" customWidth="1"/>
    <col min="3" max="3" width="28.33203125" style="584" customWidth="1"/>
    <col min="4" max="4" width="103.6640625" style="612" customWidth="1"/>
    <col min="5" max="5" width="13.88671875" style="187" hidden="1" customWidth="1"/>
    <col min="6" max="6" width="14.88671875" style="187" hidden="1" customWidth="1"/>
    <col min="7" max="7" width="12.88671875" style="187" hidden="1" customWidth="1"/>
    <col min="8" max="8" width="13.5546875" style="187" hidden="1" customWidth="1"/>
    <col min="9" max="9" width="20.6640625" style="187" customWidth="1"/>
    <col min="10" max="10" width="18" style="187" customWidth="1"/>
    <col min="11" max="16384" width="9.109375" style="187"/>
  </cols>
  <sheetData>
    <row r="1" spans="1:9" ht="35.25" customHeight="1" x14ac:dyDescent="0.4">
      <c r="A1" s="1920" t="str">
        <f>'28.sz.finansz.ütemterv'!A1:G1</f>
        <v>Pilisvörösvár Város Önkormányzata Képviselő-testületének 1/2021. (II. 15.) önkormányzati rendelete</v>
      </c>
      <c r="B1" s="1920"/>
      <c r="C1" s="1920"/>
      <c r="D1" s="1920"/>
      <c r="E1" s="1370" t="s">
        <v>758</v>
      </c>
      <c r="F1" s="733"/>
      <c r="G1" s="733"/>
      <c r="H1" s="733"/>
      <c r="I1" s="733"/>
    </row>
    <row r="2" spans="1:9" ht="28.5" customHeight="1" x14ac:dyDescent="0.4">
      <c r="A2" s="1920" t="str">
        <f>'28.sz.finansz.ütemterv'!A2:G2</f>
        <v>az Önkormányzat  2021. évi költségvetéséről</v>
      </c>
      <c r="B2" s="1920"/>
      <c r="C2" s="1920"/>
      <c r="D2" s="1920"/>
      <c r="E2" s="734"/>
      <c r="F2" s="734"/>
      <c r="G2" s="734"/>
      <c r="H2" s="734"/>
      <c r="I2" s="734"/>
    </row>
    <row r="3" spans="1:9" ht="22.8" x14ac:dyDescent="0.4">
      <c r="A3" s="1920"/>
      <c r="B3" s="1920"/>
      <c r="C3" s="1920"/>
      <c r="D3" s="1920"/>
      <c r="E3" s="1920"/>
      <c r="F3" s="1920"/>
      <c r="G3" s="1920"/>
      <c r="H3" s="1920"/>
      <c r="I3" s="1920"/>
    </row>
    <row r="4" spans="1:9" ht="22.8" x14ac:dyDescent="0.4">
      <c r="A4" s="1921" t="str">
        <f>Tartalomjegyzék_2021!B37</f>
        <v>Pilisvörösvár Város Önkormányzata közvetett támogatásai</v>
      </c>
      <c r="B4" s="1921"/>
      <c r="C4" s="1921"/>
      <c r="D4" s="1921"/>
      <c r="E4" s="735"/>
      <c r="F4" s="735"/>
      <c r="G4" s="735"/>
      <c r="H4" s="735"/>
      <c r="I4" s="735"/>
    </row>
    <row r="5" spans="1:9" ht="23.25" customHeight="1" x14ac:dyDescent="0.4">
      <c r="C5" s="583"/>
      <c r="D5" s="718" t="s">
        <v>22</v>
      </c>
    </row>
    <row r="6" spans="1:9" ht="21.75" customHeight="1" thickBot="1" x14ac:dyDescent="0.45">
      <c r="D6" s="719" t="s">
        <v>201</v>
      </c>
    </row>
    <row r="7" spans="1:9" s="692" customFormat="1" ht="81" customHeight="1" thickBot="1" x14ac:dyDescent="0.45">
      <c r="A7" s="311" t="s">
        <v>503</v>
      </c>
      <c r="B7" s="312" t="s">
        <v>452</v>
      </c>
      <c r="C7" s="1287" t="s">
        <v>453</v>
      </c>
      <c r="D7" s="314" t="s">
        <v>454</v>
      </c>
      <c r="F7" s="1288"/>
    </row>
    <row r="8" spans="1:9" s="692" customFormat="1" ht="59.25" customHeight="1" x14ac:dyDescent="0.4">
      <c r="A8" s="1289" t="s">
        <v>612</v>
      </c>
      <c r="B8" s="1290"/>
      <c r="C8" s="1291">
        <v>18</v>
      </c>
      <c r="D8" s="1292" t="s">
        <v>504</v>
      </c>
      <c r="F8" s="1288"/>
    </row>
    <row r="9" spans="1:9" s="692" customFormat="1" ht="105.75" customHeight="1" x14ac:dyDescent="0.4">
      <c r="A9" s="1289" t="s">
        <v>613</v>
      </c>
      <c r="B9" s="1290"/>
      <c r="C9" s="1291">
        <v>692</v>
      </c>
      <c r="D9" s="1293" t="s">
        <v>505</v>
      </c>
      <c r="F9" s="1288"/>
    </row>
    <row r="10" spans="1:9" s="692" customFormat="1" ht="96" customHeight="1" x14ac:dyDescent="0.4">
      <c r="A10" s="1289" t="s">
        <v>614</v>
      </c>
      <c r="B10" s="1290"/>
      <c r="C10" s="1291">
        <v>18</v>
      </c>
      <c r="D10" s="594" t="s">
        <v>790</v>
      </c>
      <c r="F10" s="1288"/>
    </row>
    <row r="11" spans="1:9" s="692" customFormat="1" ht="67.5" customHeight="1" x14ac:dyDescent="0.4">
      <c r="A11" s="1289" t="s">
        <v>654</v>
      </c>
      <c r="B11" s="1290"/>
      <c r="C11" s="1291">
        <v>34607</v>
      </c>
      <c r="D11" s="594" t="s">
        <v>655</v>
      </c>
    </row>
    <row r="12" spans="1:9" s="692" customFormat="1" ht="33.75" customHeight="1" x14ac:dyDescent="0.4">
      <c r="A12" s="1294" t="s">
        <v>506</v>
      </c>
      <c r="B12" s="1291">
        <f>82000+C12</f>
        <v>117335</v>
      </c>
      <c r="C12" s="1291">
        <f>SUM(C8:C11)</f>
        <v>35335</v>
      </c>
      <c r="D12" s="598"/>
    </row>
    <row r="13" spans="1:9" s="1296" customFormat="1" ht="42" x14ac:dyDescent="0.4">
      <c r="A13" s="1295" t="s">
        <v>411</v>
      </c>
      <c r="B13" s="1291">
        <v>0</v>
      </c>
      <c r="C13" s="1291">
        <v>0</v>
      </c>
      <c r="D13" s="598" t="s">
        <v>656</v>
      </c>
      <c r="E13" s="692"/>
      <c r="F13" s="692"/>
      <c r="G13" s="692"/>
      <c r="H13" s="692"/>
      <c r="I13" s="692"/>
    </row>
    <row r="14" spans="1:9" s="1296" customFormat="1" ht="52.5" customHeight="1" x14ac:dyDescent="0.4">
      <c r="A14" s="1295" t="s">
        <v>607</v>
      </c>
      <c r="B14" s="1291">
        <f>'15. Működési bev. (B3,B4)'!E10</f>
        <v>489135</v>
      </c>
      <c r="C14" s="1291">
        <v>0</v>
      </c>
      <c r="D14" s="598" t="s">
        <v>791</v>
      </c>
      <c r="E14" s="692"/>
      <c r="F14" s="692"/>
      <c r="G14" s="692"/>
      <c r="H14" s="692"/>
      <c r="I14" s="692"/>
    </row>
    <row r="15" spans="1:9" ht="41.25" customHeight="1" thickBot="1" x14ac:dyDescent="0.45">
      <c r="A15" s="1432" t="s">
        <v>792</v>
      </c>
      <c r="B15" s="1433">
        <v>0</v>
      </c>
      <c r="C15" s="1433">
        <v>0</v>
      </c>
      <c r="D15" s="1434" t="s">
        <v>793</v>
      </c>
    </row>
    <row r="16" spans="1:9" ht="41.25" customHeight="1" x14ac:dyDescent="0.4">
      <c r="A16" s="1435" t="s">
        <v>507</v>
      </c>
      <c r="B16" s="1436" t="s">
        <v>657</v>
      </c>
      <c r="C16" s="1437">
        <f>C12+C13+C14+C15</f>
        <v>35335</v>
      </c>
      <c r="D16" s="1438"/>
    </row>
    <row r="17" spans="1:9" ht="33.75" customHeight="1" thickBot="1" x14ac:dyDescent="0.45">
      <c r="A17" s="747"/>
      <c r="B17" s="748"/>
      <c r="C17" s="749"/>
      <c r="D17" s="750"/>
      <c r="E17" s="310"/>
      <c r="G17" s="310"/>
      <c r="H17" s="310"/>
      <c r="I17" s="310"/>
    </row>
    <row r="18" spans="1:9" ht="61.8" thickBot="1" x14ac:dyDescent="0.45">
      <c r="A18" s="311" t="s">
        <v>451</v>
      </c>
      <c r="B18" s="312" t="s">
        <v>452</v>
      </c>
      <c r="C18" s="313" t="s">
        <v>453</v>
      </c>
      <c r="D18" s="314" t="s">
        <v>454</v>
      </c>
    </row>
    <row r="19" spans="1:9" ht="41.25" customHeight="1" thickBot="1" x14ac:dyDescent="0.45">
      <c r="A19" s="585" t="s">
        <v>455</v>
      </c>
      <c r="B19" s="586">
        <v>0</v>
      </c>
      <c r="C19" s="587">
        <v>0</v>
      </c>
      <c r="D19" s="588"/>
    </row>
    <row r="20" spans="1:9" ht="33.75" customHeight="1" thickBot="1" x14ac:dyDescent="0.45">
      <c r="A20" s="747"/>
      <c r="B20" s="748"/>
      <c r="C20" s="749"/>
      <c r="D20" s="750"/>
    </row>
    <row r="21" spans="1:9" ht="72" customHeight="1" thickBot="1" x14ac:dyDescent="0.45">
      <c r="A21" s="311" t="s">
        <v>462</v>
      </c>
      <c r="B21" s="312" t="s">
        <v>452</v>
      </c>
      <c r="C21" s="313" t="s">
        <v>453</v>
      </c>
      <c r="D21" s="314" t="s">
        <v>454</v>
      </c>
    </row>
    <row r="22" spans="1:9" ht="33" customHeight="1" thickBot="1" x14ac:dyDescent="0.45">
      <c r="A22" s="585" t="s">
        <v>708</v>
      </c>
      <c r="B22" s="586">
        <v>0</v>
      </c>
      <c r="C22" s="587">
        <v>0</v>
      </c>
      <c r="D22" s="589"/>
    </row>
    <row r="23" spans="1:9" ht="33.75" customHeight="1" thickBot="1" x14ac:dyDescent="0.45">
      <c r="A23" s="747"/>
      <c r="B23" s="748"/>
      <c r="C23" s="749"/>
      <c r="D23" s="750"/>
    </row>
    <row r="24" spans="1:9" ht="61.8" thickBot="1" x14ac:dyDescent="0.45">
      <c r="A24" s="590" t="s">
        <v>463</v>
      </c>
      <c r="B24" s="312" t="s">
        <v>452</v>
      </c>
      <c r="C24" s="313" t="s">
        <v>464</v>
      </c>
      <c r="D24" s="314" t="s">
        <v>454</v>
      </c>
    </row>
    <row r="25" spans="1:9" ht="33.75" customHeight="1" x14ac:dyDescent="0.4">
      <c r="A25" s="591" t="s">
        <v>437</v>
      </c>
      <c r="B25" s="592"/>
      <c r="C25" s="593"/>
      <c r="D25" s="594" t="s">
        <v>465</v>
      </c>
    </row>
    <row r="26" spans="1:9" ht="33.75" customHeight="1" x14ac:dyDescent="0.4">
      <c r="A26" s="595" t="s">
        <v>74</v>
      </c>
      <c r="B26" s="596"/>
      <c r="C26" s="597"/>
      <c r="D26" s="598" t="s">
        <v>466</v>
      </c>
    </row>
    <row r="27" spans="1:9" ht="33.75" customHeight="1" x14ac:dyDescent="0.4">
      <c r="A27" s="599" t="s">
        <v>400</v>
      </c>
      <c r="B27" s="600"/>
      <c r="C27" s="601"/>
      <c r="D27" s="602" t="s">
        <v>467</v>
      </c>
    </row>
    <row r="28" spans="1:9" ht="33.75" customHeight="1" x14ac:dyDescent="0.4">
      <c r="A28" s="599" t="s">
        <v>532</v>
      </c>
      <c r="B28" s="600"/>
      <c r="C28" s="601"/>
      <c r="D28" s="602"/>
    </row>
    <row r="29" spans="1:9" ht="32.25" customHeight="1" thickBot="1" x14ac:dyDescent="0.45">
      <c r="A29" s="585" t="s">
        <v>707</v>
      </c>
      <c r="B29" s="587">
        <f>SUM(B25:B28)</f>
        <v>0</v>
      </c>
      <c r="C29" s="587">
        <f>SUM(C25:C28)</f>
        <v>0</v>
      </c>
      <c r="D29" s="589"/>
    </row>
    <row r="30" spans="1:9" ht="29.25" customHeight="1" thickBot="1" x14ac:dyDescent="0.45">
      <c r="A30" s="747"/>
      <c r="B30" s="748"/>
      <c r="C30" s="749"/>
      <c r="D30" s="750"/>
    </row>
    <row r="31" spans="1:9" ht="76.5" customHeight="1" thickBot="1" x14ac:dyDescent="0.45">
      <c r="A31" s="311" t="s">
        <v>468</v>
      </c>
      <c r="B31" s="312" t="s">
        <v>452</v>
      </c>
      <c r="C31" s="313" t="s">
        <v>453</v>
      </c>
      <c r="D31" s="314" t="s">
        <v>454</v>
      </c>
    </row>
    <row r="32" spans="1:9" ht="38.25" customHeight="1" thickBot="1" x14ac:dyDescent="0.45">
      <c r="A32" s="603" t="s">
        <v>469</v>
      </c>
      <c r="B32" s="604"/>
      <c r="C32" s="605"/>
      <c r="D32" s="606"/>
    </row>
    <row r="33" spans="1:4" ht="37.5" customHeight="1" thickBot="1" x14ac:dyDescent="0.45">
      <c r="A33" s="743" t="s">
        <v>329</v>
      </c>
      <c r="B33" s="744">
        <f>SUM(B19,B22,B29,B32)</f>
        <v>0</v>
      </c>
      <c r="C33" s="745">
        <f>C29+C15+C22+C19</f>
        <v>0</v>
      </c>
      <c r="D33" s="746"/>
    </row>
    <row r="34" spans="1:4" x14ac:dyDescent="0.4">
      <c r="A34" s="607"/>
      <c r="B34" s="608"/>
      <c r="C34" s="609"/>
      <c r="D34" s="610"/>
    </row>
    <row r="35" spans="1:4" x14ac:dyDescent="0.4">
      <c r="A35" s="611"/>
      <c r="B35" s="608"/>
      <c r="C35" s="609"/>
      <c r="D35" s="610"/>
    </row>
  </sheetData>
  <mergeCells count="4">
    <mergeCell ref="A1:D1"/>
    <mergeCell ref="A2:D2"/>
    <mergeCell ref="A3:I3"/>
    <mergeCell ref="A4:D4"/>
  </mergeCells>
  <hyperlinks>
    <hyperlink ref="E1" location="Munka1!A1" display="Munka1!A1" xr:uid="{00000000-0004-0000-2000-000000000000}"/>
    <hyperlink ref="D8" location="_ftn1" display="_ftn1" xr:uid="{00000000-0004-0000-2000-000001000000}"/>
  </hyperlinks>
  <printOptions horizontalCentered="1"/>
  <pageMargins left="0.25" right="0.25" top="0.75" bottom="0.75" header="0.3" footer="0.3"/>
  <pageSetup paperSize="9" scale="50" orientation="portrait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unka34">
    <tabColor rgb="FF00B050"/>
  </sheetPr>
  <dimension ref="A1:M12"/>
  <sheetViews>
    <sheetView view="pageBreakPreview" topLeftCell="A7" zoomScaleSheetLayoutView="100" workbookViewId="0">
      <selection activeCell="B8" sqref="B8"/>
    </sheetView>
  </sheetViews>
  <sheetFormatPr defaultColWidth="9.109375" defaultRowHeight="13.2" x14ac:dyDescent="0.25"/>
  <cols>
    <col min="1" max="1" width="7.44140625" style="13" customWidth="1"/>
    <col min="2" max="2" width="45" style="13" customWidth="1"/>
    <col min="3" max="3" width="68.33203125" style="13" customWidth="1"/>
    <col min="4" max="16384" width="9.109375" style="13"/>
  </cols>
  <sheetData>
    <row r="1" spans="1:13" ht="36" customHeight="1" x14ac:dyDescent="0.3">
      <c r="A1" s="1922" t="str">
        <f>Tartalomjegyzék_2021!A1</f>
        <v>Pilisvörösvár Város Önkormányzata Képviselő-testületének 1/2021. (II. 15.) önkormányzati rendelete</v>
      </c>
      <c r="B1" s="1922"/>
      <c r="C1" s="1922"/>
      <c r="D1" s="218"/>
      <c r="E1" s="218"/>
    </row>
    <row r="2" spans="1:13" ht="17.399999999999999" x14ac:dyDescent="0.3">
      <c r="A2" s="1922" t="str">
        <f>Tartalomjegyzék_2021!A2</f>
        <v>az Önkormányzat  2021. évi költségvetéséről</v>
      </c>
      <c r="B2" s="1922"/>
      <c r="C2" s="1922"/>
      <c r="D2" s="218"/>
      <c r="E2" s="218"/>
      <c r="F2" s="75"/>
      <c r="G2" s="75"/>
      <c r="H2" s="75"/>
      <c r="I2" s="75"/>
      <c r="J2" s="76"/>
      <c r="K2" s="76"/>
      <c r="L2" s="76"/>
      <c r="M2" s="76"/>
    </row>
    <row r="3" spans="1:13" ht="13.8" x14ac:dyDescent="0.25">
      <c r="A3" s="1923"/>
      <c r="B3" s="1923"/>
      <c r="C3" s="1923"/>
      <c r="D3" s="1923"/>
    </row>
    <row r="4" spans="1:13" s="14" customFormat="1" ht="65.25" customHeight="1" x14ac:dyDescent="0.3">
      <c r="A4" s="1924" t="str">
        <f>Tartalomjegyzék_2021!B38</f>
        <v>A költségvetési év azon fejlesztési céljai, amelyek megvalósításához a Gst. 8. § (2) bekezdése szerinti adósságot keletkeztető ügylet megkötése válik vagy válhat szükségessé</v>
      </c>
      <c r="B4" s="1924"/>
      <c r="C4" s="1924"/>
      <c r="D4" s="88"/>
      <c r="E4" s="88"/>
      <c r="F4" s="88"/>
      <c r="G4" s="88"/>
      <c r="H4" s="88"/>
      <c r="I4" s="88"/>
      <c r="J4" s="88"/>
    </row>
    <row r="5" spans="1:13" s="14" customFormat="1" ht="18.75" customHeight="1" x14ac:dyDescent="0.3">
      <c r="A5" s="219"/>
      <c r="B5" s="219"/>
      <c r="C5" s="490" t="s">
        <v>560</v>
      </c>
      <c r="D5" s="78"/>
    </row>
    <row r="6" spans="1:13" ht="16.2" thickBot="1" x14ac:dyDescent="0.35">
      <c r="A6" s="76"/>
      <c r="B6" s="76"/>
      <c r="C6" s="491" t="s">
        <v>201</v>
      </c>
    </row>
    <row r="7" spans="1:13" s="14" customFormat="1" ht="62.25" customHeight="1" thickBot="1" x14ac:dyDescent="0.35">
      <c r="A7" s="25" t="s">
        <v>25</v>
      </c>
      <c r="B7" s="220" t="s">
        <v>470</v>
      </c>
      <c r="C7" s="41" t="s">
        <v>812</v>
      </c>
    </row>
    <row r="8" spans="1:13" ht="16.2" thickBot="1" x14ac:dyDescent="0.3">
      <c r="A8" s="221">
        <v>1</v>
      </c>
      <c r="B8" s="222" t="s">
        <v>531</v>
      </c>
      <c r="C8" s="492">
        <v>0</v>
      </c>
    </row>
    <row r="9" spans="1:13" ht="16.2" thickBot="1" x14ac:dyDescent="0.3">
      <c r="A9" s="223">
        <v>2</v>
      </c>
      <c r="B9" s="224" t="s">
        <v>111</v>
      </c>
      <c r="C9" s="493">
        <f>SUM(C8:C8)</f>
        <v>0</v>
      </c>
    </row>
    <row r="10" spans="1:13" ht="19.5" customHeight="1" x14ac:dyDescent="0.25">
      <c r="A10" s="76"/>
      <c r="B10" s="76"/>
      <c r="C10" s="76"/>
    </row>
    <row r="11" spans="1:13" s="12" customFormat="1" ht="15" x14ac:dyDescent="0.25"/>
    <row r="12" spans="1:13" s="12" customFormat="1" ht="15" x14ac:dyDescent="0.25"/>
  </sheetData>
  <mergeCells count="4">
    <mergeCell ref="A2:C2"/>
    <mergeCell ref="A3:D3"/>
    <mergeCell ref="A4:C4"/>
    <mergeCell ref="A1:C1"/>
  </mergeCells>
  <phoneticPr fontId="5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unka32">
    <tabColor rgb="FF00B050"/>
    <pageSetUpPr fitToPage="1"/>
  </sheetPr>
  <dimension ref="A1:X73"/>
  <sheetViews>
    <sheetView view="pageBreakPreview" zoomScaleSheetLayoutView="100" workbookViewId="0">
      <selection sqref="A1:F1"/>
    </sheetView>
  </sheetViews>
  <sheetFormatPr defaultColWidth="9.109375" defaultRowHeight="15.6" x14ac:dyDescent="0.3"/>
  <cols>
    <col min="1" max="1" width="69.88671875" style="382" customWidth="1"/>
    <col min="2" max="2" width="9.109375" style="382"/>
    <col min="3" max="3" width="15.5546875" style="382" customWidth="1"/>
    <col min="4" max="5" width="14.109375" style="382" customWidth="1"/>
    <col min="6" max="6" width="14.5546875" style="382" customWidth="1"/>
    <col min="7" max="7" width="14.6640625" style="382" hidden="1" customWidth="1"/>
    <col min="8" max="10" width="0" style="382" hidden="1" customWidth="1"/>
    <col min="11" max="16384" width="9.109375" style="382"/>
  </cols>
  <sheetData>
    <row r="1" spans="1:7" ht="18.75" customHeight="1" x14ac:dyDescent="0.3">
      <c r="A1" s="1922" t="str">
        <f>'30.sz.adósságszolgálat'!A1:C1</f>
        <v>Pilisvörösvár Város Önkormányzata Képviselő-testületének 1/2021. (II. 15.) önkormányzati rendelete</v>
      </c>
      <c r="B1" s="1922"/>
      <c r="C1" s="1922"/>
      <c r="D1" s="1922"/>
      <c r="E1" s="1922"/>
      <c r="F1" s="1831"/>
      <c r="G1" s="1362" t="s">
        <v>758</v>
      </c>
    </row>
    <row r="2" spans="1:7" ht="18.75" customHeight="1" x14ac:dyDescent="0.3">
      <c r="A2" s="1922" t="str">
        <f>'30.sz.adósságszolgálat'!A2:C2</f>
        <v>az Önkormányzat  2021. évi költségvetéséről</v>
      </c>
      <c r="B2" s="1922"/>
      <c r="C2" s="1922"/>
      <c r="D2" s="1922"/>
      <c r="E2" s="1922"/>
      <c r="F2" s="1831"/>
    </row>
    <row r="3" spans="1:7" ht="25.5" customHeight="1" x14ac:dyDescent="0.3">
      <c r="A3" s="1922" t="str">
        <f>Tartalomjegyzék_2021!B39</f>
        <v>Pilisvörösvár Város Önkormányzata három évre való előre tekintés a várható bevételekről és kiadásokról</v>
      </c>
      <c r="B3" s="1922"/>
      <c r="C3" s="1922"/>
      <c r="D3" s="1922"/>
      <c r="E3" s="1922"/>
      <c r="F3" s="1831"/>
      <c r="G3" s="382">
        <v>3.3000000000000002E-2</v>
      </c>
    </row>
    <row r="4" spans="1:7" ht="32.25" customHeight="1" x14ac:dyDescent="0.3">
      <c r="A4" s="1922" t="s">
        <v>48</v>
      </c>
      <c r="B4" s="1922"/>
      <c r="C4" s="1922"/>
      <c r="D4" s="1922"/>
      <c r="E4" s="1922"/>
      <c r="F4" s="1831"/>
    </row>
    <row r="5" spans="1:7" ht="18" x14ac:dyDescent="0.35">
      <c r="A5" s="383"/>
      <c r="B5" s="381"/>
      <c r="C5" s="381"/>
      <c r="D5" s="381"/>
      <c r="E5" s="381"/>
      <c r="F5" s="384" t="s">
        <v>837</v>
      </c>
    </row>
    <row r="6" spans="1:7" ht="18.600000000000001" thickBot="1" x14ac:dyDescent="0.4">
      <c r="A6" s="381" t="s">
        <v>482</v>
      </c>
      <c r="B6" s="381"/>
      <c r="C6" s="381"/>
      <c r="D6" s="381"/>
      <c r="E6" s="381"/>
      <c r="F6" s="384" t="s">
        <v>201</v>
      </c>
    </row>
    <row r="7" spans="1:7" ht="31.8" thickBot="1" x14ac:dyDescent="0.35">
      <c r="A7" s="385" t="s">
        <v>241</v>
      </c>
      <c r="B7" s="386" t="s">
        <v>165</v>
      </c>
      <c r="C7" s="503">
        <v>2021</v>
      </c>
      <c r="D7" s="503">
        <v>2022</v>
      </c>
      <c r="E7" s="503">
        <v>2023</v>
      </c>
      <c r="F7" s="503">
        <v>2024</v>
      </c>
    </row>
    <row r="8" spans="1:7" ht="18" x14ac:dyDescent="0.35">
      <c r="A8" s="387" t="s">
        <v>167</v>
      </c>
      <c r="B8" s="388" t="s">
        <v>166</v>
      </c>
      <c r="C8" s="494">
        <f>'2.Kiadások_részletes '!J11</f>
        <v>1046148</v>
      </c>
      <c r="D8" s="494">
        <f>C8*(1+G$3)</f>
        <v>1080670.8839999998</v>
      </c>
      <c r="E8" s="494">
        <f>D8</f>
        <v>1080670.8839999998</v>
      </c>
      <c r="F8" s="494">
        <f>E8</f>
        <v>1080670.8839999998</v>
      </c>
    </row>
    <row r="9" spans="1:7" ht="18" x14ac:dyDescent="0.35">
      <c r="A9" s="389" t="s">
        <v>169</v>
      </c>
      <c r="B9" s="390" t="s">
        <v>168</v>
      </c>
      <c r="C9" s="494">
        <f>'2.Kiadások_részletes '!J12</f>
        <v>163531</v>
      </c>
      <c r="D9" s="494">
        <f t="shared" ref="D9:D16" si="0">C9*(1+G$3)</f>
        <v>168927.52299999999</v>
      </c>
      <c r="E9" s="494">
        <f t="shared" ref="E9:F21" si="1">D9</f>
        <v>168927.52299999999</v>
      </c>
      <c r="F9" s="494">
        <f t="shared" si="1"/>
        <v>168927.52299999999</v>
      </c>
    </row>
    <row r="10" spans="1:7" ht="18" x14ac:dyDescent="0.35">
      <c r="A10" s="389" t="s">
        <v>171</v>
      </c>
      <c r="B10" s="390" t="s">
        <v>170</v>
      </c>
      <c r="C10" s="494">
        <f>'2.Kiadások_részletes '!J13</f>
        <v>739430.86</v>
      </c>
      <c r="D10" s="494">
        <f t="shared" si="0"/>
        <v>763832.07837999996</v>
      </c>
      <c r="E10" s="494">
        <f t="shared" si="1"/>
        <v>763832.07837999996</v>
      </c>
      <c r="F10" s="494">
        <f t="shared" si="1"/>
        <v>763832.07837999996</v>
      </c>
    </row>
    <row r="11" spans="1:7" ht="18" x14ac:dyDescent="0.35">
      <c r="A11" s="391" t="s">
        <v>23</v>
      </c>
      <c r="B11" s="390" t="s">
        <v>172</v>
      </c>
      <c r="C11" s="494">
        <f>'2.Kiadások_részletes '!J14</f>
        <v>17432</v>
      </c>
      <c r="D11" s="494">
        <f t="shared" si="0"/>
        <v>18007.255999999998</v>
      </c>
      <c r="E11" s="494">
        <f t="shared" si="1"/>
        <v>18007.255999999998</v>
      </c>
      <c r="F11" s="494">
        <f t="shared" si="1"/>
        <v>18007.255999999998</v>
      </c>
    </row>
    <row r="12" spans="1:7" ht="18" x14ac:dyDescent="0.35">
      <c r="A12" s="391" t="s">
        <v>180</v>
      </c>
      <c r="B12" s="390" t="s">
        <v>179</v>
      </c>
      <c r="C12" s="495">
        <f>'2.Kiadások_részletes '!J19</f>
        <v>417012</v>
      </c>
      <c r="D12" s="494">
        <f t="shared" si="0"/>
        <v>430773.39599999995</v>
      </c>
      <c r="E12" s="494">
        <f t="shared" si="1"/>
        <v>430773.39599999995</v>
      </c>
      <c r="F12" s="494">
        <f t="shared" si="1"/>
        <v>430773.39599999995</v>
      </c>
    </row>
    <row r="13" spans="1:7" ht="18" x14ac:dyDescent="0.35">
      <c r="A13" s="392" t="s">
        <v>202</v>
      </c>
      <c r="B13" s="393"/>
      <c r="C13" s="496">
        <f>SUM(C8:C12)</f>
        <v>2383553.86</v>
      </c>
      <c r="D13" s="496">
        <f>SUM(D8:D12)</f>
        <v>2462211.1373800002</v>
      </c>
      <c r="E13" s="496">
        <f>SUM(E8:E12)</f>
        <v>2462211.1373800002</v>
      </c>
      <c r="F13" s="496">
        <f>SUM(F8:F12)</f>
        <v>2462211.1373800002</v>
      </c>
    </row>
    <row r="14" spans="1:7" ht="18" x14ac:dyDescent="0.35">
      <c r="A14" s="394" t="s">
        <v>321</v>
      </c>
      <c r="B14" s="390" t="s">
        <v>181</v>
      </c>
      <c r="C14" s="495">
        <f>'2.Kiadások_részletes '!J21</f>
        <v>25485</v>
      </c>
      <c r="D14" s="494">
        <f t="shared" si="0"/>
        <v>26326.004999999997</v>
      </c>
      <c r="E14" s="494">
        <f t="shared" si="1"/>
        <v>26326.004999999997</v>
      </c>
      <c r="F14" s="494">
        <f t="shared" si="1"/>
        <v>26326.004999999997</v>
      </c>
    </row>
    <row r="15" spans="1:7" ht="18" x14ac:dyDescent="0.35">
      <c r="A15" s="391" t="s">
        <v>183</v>
      </c>
      <c r="B15" s="390" t="s">
        <v>182</v>
      </c>
      <c r="C15" s="495">
        <f>'2.Kiadások_részletes '!J22</f>
        <v>0</v>
      </c>
      <c r="D15" s="495">
        <f t="shared" si="0"/>
        <v>0</v>
      </c>
      <c r="E15" s="494">
        <f t="shared" si="1"/>
        <v>0</v>
      </c>
      <c r="F15" s="494">
        <f t="shared" si="1"/>
        <v>0</v>
      </c>
    </row>
    <row r="16" spans="1:7" ht="18" x14ac:dyDescent="0.35">
      <c r="A16" s="391" t="s">
        <v>187</v>
      </c>
      <c r="B16" s="390" t="s">
        <v>186</v>
      </c>
      <c r="C16" s="495">
        <f>'2.Kiadások_részletes '!L25</f>
        <v>0</v>
      </c>
      <c r="D16" s="494">
        <f t="shared" si="0"/>
        <v>0</v>
      </c>
      <c r="E16" s="494">
        <f t="shared" si="1"/>
        <v>0</v>
      </c>
      <c r="F16" s="494">
        <f t="shared" si="1"/>
        <v>0</v>
      </c>
    </row>
    <row r="17" spans="1:24" ht="18" x14ac:dyDescent="0.35">
      <c r="A17" s="392" t="s">
        <v>203</v>
      </c>
      <c r="B17" s="395"/>
      <c r="C17" s="496">
        <f>SUM(C14:C16)</f>
        <v>25485</v>
      </c>
      <c r="D17" s="496">
        <f>SUM(D14:D16)</f>
        <v>26326.004999999997</v>
      </c>
      <c r="E17" s="496">
        <f>SUM(E14:E16)</f>
        <v>26326.004999999997</v>
      </c>
      <c r="F17" s="496">
        <f>SUM(F14:F16)</f>
        <v>26326.004999999997</v>
      </c>
    </row>
    <row r="18" spans="1:24" ht="17.399999999999999" x14ac:dyDescent="0.3">
      <c r="A18" s="396" t="s">
        <v>189</v>
      </c>
      <c r="B18" s="397" t="s">
        <v>188</v>
      </c>
      <c r="C18" s="497">
        <f>C17+C13</f>
        <v>2409038.86</v>
      </c>
      <c r="D18" s="497">
        <f>D17+D13</f>
        <v>2488537.1423800001</v>
      </c>
      <c r="E18" s="497">
        <f>E17+E13</f>
        <v>2488537.1423800001</v>
      </c>
      <c r="F18" s="497">
        <f>F17+F13</f>
        <v>2488537.1423800001</v>
      </c>
    </row>
    <row r="19" spans="1:24" ht="18" x14ac:dyDescent="0.35">
      <c r="A19" s="398" t="s">
        <v>195</v>
      </c>
      <c r="B19" s="399" t="s">
        <v>194</v>
      </c>
      <c r="C19" s="951">
        <f>'2.Kiadások_részletes '!J30+'2.Kiadások_részletes '!J32</f>
        <v>1320</v>
      </c>
      <c r="D19" s="494">
        <f>C19*(1+G$3)</f>
        <v>1363.56</v>
      </c>
      <c r="E19" s="494">
        <f t="shared" si="1"/>
        <v>1363.56</v>
      </c>
      <c r="F19" s="494">
        <f t="shared" si="1"/>
        <v>1363.56</v>
      </c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1"/>
      <c r="X19" s="401"/>
    </row>
    <row r="20" spans="1:24" ht="18" x14ac:dyDescent="0.35">
      <c r="A20" s="398" t="s">
        <v>197</v>
      </c>
      <c r="B20" s="399" t="s">
        <v>196</v>
      </c>
      <c r="C20" s="498"/>
      <c r="D20" s="494">
        <f>C20</f>
        <v>0</v>
      </c>
      <c r="E20" s="494">
        <f t="shared" si="1"/>
        <v>0</v>
      </c>
      <c r="F20" s="494">
        <f t="shared" si="1"/>
        <v>0</v>
      </c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1"/>
      <c r="X20" s="401"/>
    </row>
    <row r="21" spans="1:24" ht="18" x14ac:dyDescent="0.35">
      <c r="A21" s="402" t="s">
        <v>199</v>
      </c>
      <c r="B21" s="403" t="s">
        <v>198</v>
      </c>
      <c r="C21" s="498"/>
      <c r="D21" s="494">
        <f>C21</f>
        <v>0</v>
      </c>
      <c r="E21" s="494">
        <f t="shared" si="1"/>
        <v>0</v>
      </c>
      <c r="F21" s="494">
        <f t="shared" si="1"/>
        <v>0</v>
      </c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1"/>
      <c r="X21" s="401"/>
    </row>
    <row r="22" spans="1:24" ht="18" thickBot="1" x14ac:dyDescent="0.35">
      <c r="A22" s="405" t="s">
        <v>26</v>
      </c>
      <c r="B22" s="406" t="s">
        <v>200</v>
      </c>
      <c r="C22" s="499">
        <f>SUM(C19:C21)</f>
        <v>1320</v>
      </c>
      <c r="D22" s="499">
        <f>SUM(D19:D21)</f>
        <v>1363.56</v>
      </c>
      <c r="E22" s="499">
        <f>SUM(E19:E21)</f>
        <v>1363.56</v>
      </c>
      <c r="F22" s="499">
        <f>SUM(F19:F21)</f>
        <v>1363.56</v>
      </c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00"/>
      <c r="W22" s="401"/>
      <c r="X22" s="401"/>
    </row>
    <row r="23" spans="1:24" ht="18" thickBot="1" x14ac:dyDescent="0.35">
      <c r="A23" s="407" t="s">
        <v>224</v>
      </c>
      <c r="B23" s="408"/>
      <c r="C23" s="500">
        <f>C22+C18</f>
        <v>2410358.86</v>
      </c>
      <c r="D23" s="500">
        <f>D22+D18-1</f>
        <v>2489899.7023800001</v>
      </c>
      <c r="E23" s="500">
        <f>E22+E18-1</f>
        <v>2489899.7023800001</v>
      </c>
      <c r="F23" s="500">
        <f>F22+F18-1</f>
        <v>2489899.7023800001</v>
      </c>
      <c r="G23" s="401"/>
      <c r="H23" s="401"/>
      <c r="I23" s="401"/>
      <c r="J23" s="401"/>
      <c r="K23" s="401"/>
      <c r="L23" s="401"/>
      <c r="M23" s="401"/>
      <c r="N23" s="401"/>
      <c r="O23" s="401"/>
      <c r="P23" s="401"/>
      <c r="Q23" s="401"/>
      <c r="R23" s="401"/>
      <c r="S23" s="401"/>
      <c r="T23" s="401"/>
      <c r="U23" s="401"/>
      <c r="V23" s="401"/>
      <c r="W23" s="401"/>
      <c r="X23" s="401"/>
    </row>
    <row r="24" spans="1:24" x14ac:dyDescent="0.3">
      <c r="B24" s="401"/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401"/>
      <c r="R24" s="401"/>
      <c r="S24" s="401"/>
      <c r="T24" s="401"/>
      <c r="U24" s="401"/>
      <c r="V24" s="401"/>
      <c r="W24" s="401"/>
      <c r="X24" s="401"/>
    </row>
    <row r="25" spans="1:24" ht="17.399999999999999" x14ac:dyDescent="0.3">
      <c r="A25" s="1922" t="s">
        <v>47</v>
      </c>
      <c r="B25" s="1922"/>
      <c r="C25" s="1922"/>
      <c r="D25" s="1922"/>
      <c r="E25" s="1922"/>
      <c r="F25" s="183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401"/>
      <c r="R25" s="401"/>
      <c r="S25" s="401"/>
      <c r="T25" s="401"/>
      <c r="U25" s="401"/>
      <c r="V25" s="401"/>
      <c r="W25" s="401"/>
      <c r="X25" s="401"/>
    </row>
    <row r="26" spans="1:24" ht="18" x14ac:dyDescent="0.35">
      <c r="A26" s="383"/>
      <c r="B26" s="381"/>
      <c r="C26" s="381"/>
      <c r="D26" s="381"/>
      <c r="E26" s="381"/>
      <c r="F26" s="409"/>
      <c r="G26" s="401"/>
      <c r="H26" s="401"/>
      <c r="I26" s="401"/>
      <c r="J26" s="401"/>
      <c r="K26" s="401"/>
      <c r="L26" s="401"/>
      <c r="M26" s="401"/>
      <c r="N26" s="401"/>
      <c r="O26" s="401"/>
      <c r="P26" s="401"/>
      <c r="Q26" s="401"/>
      <c r="R26" s="401"/>
      <c r="S26" s="401"/>
      <c r="T26" s="401"/>
      <c r="U26" s="401"/>
      <c r="V26" s="401"/>
      <c r="W26" s="401"/>
      <c r="X26" s="401"/>
    </row>
    <row r="27" spans="1:24" ht="18.600000000000001" thickBot="1" x14ac:dyDescent="0.4">
      <c r="A27" s="381" t="s">
        <v>482</v>
      </c>
      <c r="B27" s="381"/>
      <c r="C27" s="381"/>
      <c r="D27" s="381"/>
      <c r="E27" s="381"/>
      <c r="F27" s="384" t="s">
        <v>201</v>
      </c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</row>
    <row r="28" spans="1:24" ht="31.8" thickBot="1" x14ac:dyDescent="0.35">
      <c r="A28" s="385" t="s">
        <v>241</v>
      </c>
      <c r="B28" s="386" t="s">
        <v>242</v>
      </c>
      <c r="C28" s="503">
        <v>2021</v>
      </c>
      <c r="D28" s="503">
        <v>2022</v>
      </c>
      <c r="E28" s="503">
        <v>2023</v>
      </c>
      <c r="F28" s="503">
        <v>2024</v>
      </c>
      <c r="G28" s="401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</row>
    <row r="29" spans="1:24" ht="18" x14ac:dyDescent="0.35">
      <c r="A29" s="410" t="s">
        <v>256</v>
      </c>
      <c r="B29" s="411" t="s">
        <v>257</v>
      </c>
      <c r="C29" s="494">
        <f>'2.Bevételek_részletes'!J10</f>
        <v>1516766</v>
      </c>
      <c r="D29" s="494">
        <f t="shared" ref="D29:D32" si="2">C29*(1+G$3)</f>
        <v>1566819.2779999999</v>
      </c>
      <c r="E29" s="494">
        <f t="shared" ref="E29:F47" si="3">D29</f>
        <v>1566819.2779999999</v>
      </c>
      <c r="F29" s="494">
        <f t="shared" si="3"/>
        <v>1566819.2779999999</v>
      </c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</row>
    <row r="30" spans="1:24" ht="18" x14ac:dyDescent="0.35">
      <c r="A30" s="389" t="s">
        <v>264</v>
      </c>
      <c r="B30" s="412" t="s">
        <v>265</v>
      </c>
      <c r="C30" s="495">
        <f>'2.Bevételek_részletes'!J16</f>
        <v>573635</v>
      </c>
      <c r="D30" s="494">
        <f>C30*(1+G$3)</f>
        <v>592564.95499999996</v>
      </c>
      <c r="E30" s="494">
        <f t="shared" si="3"/>
        <v>592564.95499999996</v>
      </c>
      <c r="F30" s="494">
        <f t="shared" si="3"/>
        <v>592564.95499999996</v>
      </c>
      <c r="G30" s="401"/>
      <c r="H30" s="401"/>
      <c r="I30" s="401"/>
      <c r="J30" s="401"/>
      <c r="K30" s="401"/>
      <c r="L30" s="401"/>
      <c r="M30" s="401"/>
      <c r="N30" s="401"/>
      <c r="O30" s="401"/>
      <c r="P30" s="401"/>
      <c r="Q30" s="401"/>
      <c r="R30" s="401"/>
      <c r="S30" s="401"/>
      <c r="T30" s="401"/>
      <c r="U30" s="401"/>
      <c r="V30" s="401"/>
      <c r="W30" s="401"/>
      <c r="X30" s="401"/>
    </row>
    <row r="31" spans="1:24" ht="18" x14ac:dyDescent="0.35">
      <c r="A31" s="391" t="s">
        <v>278</v>
      </c>
      <c r="B31" s="412" t="s">
        <v>279</v>
      </c>
      <c r="C31" s="495">
        <f>'2.Bevételek_részletes'!J24</f>
        <v>261558</v>
      </c>
      <c r="D31" s="494">
        <f>C31*(1+G$3)</f>
        <v>270189.41399999999</v>
      </c>
      <c r="E31" s="494">
        <f t="shared" si="3"/>
        <v>270189.41399999999</v>
      </c>
      <c r="F31" s="494">
        <f t="shared" si="3"/>
        <v>270189.41399999999</v>
      </c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</row>
    <row r="32" spans="1:24" ht="18" x14ac:dyDescent="0.35">
      <c r="A32" s="389" t="s">
        <v>288</v>
      </c>
      <c r="B32" s="412" t="s">
        <v>289</v>
      </c>
      <c r="C32" s="495">
        <f>'2.Bevételek_részletes'!J29</f>
        <v>0</v>
      </c>
      <c r="D32" s="494">
        <f t="shared" si="2"/>
        <v>0</v>
      </c>
      <c r="E32" s="494">
        <f t="shared" si="3"/>
        <v>0</v>
      </c>
      <c r="F32" s="494">
        <f t="shared" si="3"/>
        <v>0</v>
      </c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</row>
    <row r="33" spans="1:24" ht="18" x14ac:dyDescent="0.35">
      <c r="A33" s="392" t="s">
        <v>71</v>
      </c>
      <c r="B33" s="413"/>
      <c r="C33" s="496">
        <f>SUM(C29:C32)</f>
        <v>2351959</v>
      </c>
      <c r="D33" s="496">
        <f>SUM(D29:D32)</f>
        <v>2429573.6469999999</v>
      </c>
      <c r="E33" s="496">
        <f>SUM(E29:E32)</f>
        <v>2429573.6469999999</v>
      </c>
      <c r="F33" s="496">
        <f>SUM(F29:F32)</f>
        <v>2429573.6469999999</v>
      </c>
      <c r="G33" s="401"/>
      <c r="H33" s="401"/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1"/>
      <c r="W33" s="401"/>
      <c r="X33" s="401"/>
    </row>
    <row r="34" spans="1:24" ht="18" x14ac:dyDescent="0.35">
      <c r="A34" s="389" t="s">
        <v>260</v>
      </c>
      <c r="B34" s="412" t="s">
        <v>261</v>
      </c>
      <c r="C34" s="495">
        <f>'2.Bevételek_részletes'!J12</f>
        <v>0</v>
      </c>
      <c r="D34" s="494">
        <f>C34*(1+G$3)</f>
        <v>0</v>
      </c>
      <c r="E34" s="494">
        <f t="shared" si="3"/>
        <v>0</v>
      </c>
      <c r="F34" s="494">
        <f t="shared" si="3"/>
        <v>0</v>
      </c>
      <c r="G34" s="401"/>
      <c r="H34" s="401"/>
      <c r="I34" s="401"/>
      <c r="J34" s="401"/>
      <c r="K34" s="401"/>
      <c r="L34" s="401"/>
      <c r="M34" s="401"/>
      <c r="N34" s="401"/>
      <c r="O34" s="401"/>
      <c r="P34" s="401"/>
      <c r="Q34" s="401"/>
      <c r="R34" s="401"/>
      <c r="S34" s="401"/>
      <c r="T34" s="401"/>
      <c r="U34" s="401"/>
      <c r="V34" s="401"/>
      <c r="W34" s="401"/>
      <c r="X34" s="401"/>
    </row>
    <row r="35" spans="1:24" ht="18" x14ac:dyDescent="0.35">
      <c r="A35" s="389" t="s">
        <v>284</v>
      </c>
      <c r="B35" s="412" t="s">
        <v>285</v>
      </c>
      <c r="C35" s="495">
        <f>'2.Bevételek_részletes'!J27</f>
        <v>58399</v>
      </c>
      <c r="D35" s="495">
        <f>C35*(1+G$3)</f>
        <v>60326.166999999994</v>
      </c>
      <c r="E35" s="495">
        <f>D35*(1+H$3)</f>
        <v>60326.166999999994</v>
      </c>
      <c r="F35" s="494">
        <f t="shared" si="3"/>
        <v>60326.166999999994</v>
      </c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1"/>
      <c r="U35" s="401"/>
      <c r="V35" s="401"/>
      <c r="W35" s="401"/>
      <c r="X35" s="401"/>
    </row>
    <row r="36" spans="1:24" ht="18" x14ac:dyDescent="0.35">
      <c r="A36" s="389" t="s">
        <v>294</v>
      </c>
      <c r="B36" s="412" t="s">
        <v>295</v>
      </c>
      <c r="C36" s="495">
        <f>'2.Bevételek_részletes'!J32</f>
        <v>0</v>
      </c>
      <c r="D36" s="494">
        <f>C36*(1+G$3)</f>
        <v>0</v>
      </c>
      <c r="E36" s="494">
        <v>0</v>
      </c>
      <c r="F36" s="494">
        <f t="shared" si="3"/>
        <v>0</v>
      </c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</row>
    <row r="37" spans="1:24" ht="18" x14ac:dyDescent="0.35">
      <c r="A37" s="392" t="s">
        <v>72</v>
      </c>
      <c r="B37" s="413"/>
      <c r="C37" s="496">
        <f>SUM(C34:C36)</f>
        <v>58399</v>
      </c>
      <c r="D37" s="496">
        <f>SUM(D34:D36)</f>
        <v>60326.166999999994</v>
      </c>
      <c r="E37" s="496">
        <f>SUM(E34:E36)</f>
        <v>60326.166999999994</v>
      </c>
      <c r="F37" s="496">
        <f>SUM(F34:F36)</f>
        <v>60326.166999999994</v>
      </c>
      <c r="G37" s="401"/>
      <c r="H37" s="401"/>
      <c r="I37" s="401"/>
      <c r="J37" s="401"/>
      <c r="K37" s="401"/>
      <c r="L37" s="401"/>
      <c r="M37" s="401"/>
      <c r="N37" s="401"/>
      <c r="O37" s="401"/>
      <c r="P37" s="401"/>
      <c r="Q37" s="401"/>
      <c r="R37" s="401"/>
      <c r="S37" s="401"/>
      <c r="T37" s="401"/>
      <c r="U37" s="401"/>
      <c r="V37" s="401"/>
      <c r="W37" s="401"/>
      <c r="X37" s="401"/>
    </row>
    <row r="38" spans="1:24" ht="17.399999999999999" x14ac:dyDescent="0.3">
      <c r="A38" s="414" t="s">
        <v>296</v>
      </c>
      <c r="B38" s="415" t="s">
        <v>297</v>
      </c>
      <c r="C38" s="497">
        <f>C33+C37+1</f>
        <v>2410359</v>
      </c>
      <c r="D38" s="497">
        <f>D33+D37</f>
        <v>2489899.8139999998</v>
      </c>
      <c r="E38" s="497">
        <f>E33+E37</f>
        <v>2489899.8139999998</v>
      </c>
      <c r="F38" s="497">
        <f>F33+F37</f>
        <v>2489899.8139999998</v>
      </c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1"/>
      <c r="T38" s="401"/>
      <c r="U38" s="401"/>
      <c r="V38" s="401"/>
      <c r="W38" s="401"/>
      <c r="X38" s="401"/>
    </row>
    <row r="39" spans="1:24" ht="17.399999999999999" x14ac:dyDescent="0.3">
      <c r="A39" s="416" t="s">
        <v>480</v>
      </c>
      <c r="B39" s="417"/>
      <c r="C39" s="501">
        <f>C33-C13</f>
        <v>-31594.85999999987</v>
      </c>
      <c r="D39" s="501">
        <f>D33-D13</f>
        <v>-32637.490380000323</v>
      </c>
      <c r="E39" s="501">
        <f>E33-E13</f>
        <v>-32637.490380000323</v>
      </c>
      <c r="F39" s="501">
        <f>F33-F13</f>
        <v>-32637.490380000323</v>
      </c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  <c r="V39" s="401"/>
      <c r="W39" s="401"/>
      <c r="X39" s="401"/>
    </row>
    <row r="40" spans="1:24" ht="17.399999999999999" x14ac:dyDescent="0.3">
      <c r="A40" s="416" t="s">
        <v>481</v>
      </c>
      <c r="B40" s="417"/>
      <c r="C40" s="501">
        <f>C37-C17</f>
        <v>32914</v>
      </c>
      <c r="D40" s="501">
        <f>D37-D17</f>
        <v>34000.161999999997</v>
      </c>
      <c r="E40" s="501">
        <f>E37-E17</f>
        <v>34000.161999999997</v>
      </c>
      <c r="F40" s="501">
        <f>F37-F17</f>
        <v>34000.161999999997</v>
      </c>
      <c r="G40" s="401"/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401"/>
      <c r="S40" s="401"/>
      <c r="T40" s="401"/>
      <c r="U40" s="401"/>
      <c r="V40" s="401"/>
      <c r="W40" s="401"/>
      <c r="X40" s="401"/>
    </row>
    <row r="41" spans="1:24" ht="18" x14ac:dyDescent="0.35">
      <c r="A41" s="391" t="s">
        <v>302</v>
      </c>
      <c r="B41" s="399" t="s">
        <v>303</v>
      </c>
      <c r="C41" s="495">
        <f>'2.Bevételek_részletes'!J38</f>
        <v>0</v>
      </c>
      <c r="D41" s="494">
        <f>C41</f>
        <v>0</v>
      </c>
      <c r="E41" s="494">
        <f t="shared" si="3"/>
        <v>0</v>
      </c>
      <c r="F41" s="494">
        <f t="shared" si="3"/>
        <v>0</v>
      </c>
      <c r="G41" s="401"/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  <c r="S41" s="401"/>
      <c r="T41" s="401"/>
      <c r="U41" s="401"/>
      <c r="V41" s="401"/>
      <c r="W41" s="401"/>
      <c r="X41" s="401"/>
    </row>
    <row r="42" spans="1:24" ht="18" x14ac:dyDescent="0.35">
      <c r="A42" s="398" t="s">
        <v>471</v>
      </c>
      <c r="B42" s="399" t="s">
        <v>472</v>
      </c>
      <c r="C42" s="495">
        <v>0</v>
      </c>
      <c r="D42" s="494">
        <v>0</v>
      </c>
      <c r="E42" s="494">
        <f>D42</f>
        <v>0</v>
      </c>
      <c r="F42" s="494">
        <f>E42</f>
        <v>0</v>
      </c>
      <c r="G42" s="401"/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</row>
    <row r="43" spans="1:24" ht="18" x14ac:dyDescent="0.35">
      <c r="A43" s="389" t="s">
        <v>307</v>
      </c>
      <c r="B43" s="399" t="s">
        <v>308</v>
      </c>
      <c r="C43" s="495">
        <f>'2.Bevételek_részletes'!J42</f>
        <v>0</v>
      </c>
      <c r="D43" s="494">
        <f>C43*(1+G$3)</f>
        <v>0</v>
      </c>
      <c r="E43" s="494">
        <f>D43</f>
        <v>0</v>
      </c>
      <c r="F43" s="494">
        <f>E43</f>
        <v>0</v>
      </c>
      <c r="G43" s="401"/>
      <c r="H43" s="401"/>
      <c r="I43" s="401"/>
      <c r="J43" s="401"/>
      <c r="K43" s="401"/>
      <c r="L43" s="401"/>
      <c r="M43" s="401"/>
      <c r="N43" s="401"/>
      <c r="O43" s="401"/>
      <c r="P43" s="401"/>
      <c r="Q43" s="401"/>
      <c r="R43" s="401"/>
      <c r="S43" s="401"/>
      <c r="T43" s="401"/>
      <c r="U43" s="401"/>
      <c r="V43" s="401"/>
      <c r="W43" s="401"/>
      <c r="X43" s="401"/>
    </row>
    <row r="44" spans="1:24" ht="18" x14ac:dyDescent="0.35">
      <c r="A44" s="389" t="s">
        <v>355</v>
      </c>
      <c r="B44" s="399" t="s">
        <v>310</v>
      </c>
      <c r="C44" s="495"/>
      <c r="D44" s="494">
        <f>C44</f>
        <v>0</v>
      </c>
      <c r="E44" s="494">
        <f t="shared" si="3"/>
        <v>0</v>
      </c>
      <c r="F44" s="494">
        <f t="shared" si="3"/>
        <v>0</v>
      </c>
      <c r="G44" s="401"/>
      <c r="H44" s="401"/>
      <c r="I44" s="401"/>
      <c r="J44" s="401"/>
      <c r="K44" s="401"/>
      <c r="L44" s="401"/>
      <c r="M44" s="401"/>
      <c r="N44" s="401"/>
      <c r="O44" s="401"/>
      <c r="P44" s="401"/>
      <c r="Q44" s="401"/>
      <c r="R44" s="401"/>
      <c r="S44" s="401"/>
      <c r="T44" s="401"/>
      <c r="U44" s="401"/>
      <c r="V44" s="401"/>
      <c r="W44" s="401"/>
      <c r="X44" s="401"/>
    </row>
    <row r="45" spans="1:24" ht="17.399999999999999" x14ac:dyDescent="0.3">
      <c r="A45" s="391" t="s">
        <v>313</v>
      </c>
      <c r="B45" s="399" t="s">
        <v>314</v>
      </c>
      <c r="C45" s="502">
        <f>SUM(C41:C44)</f>
        <v>0</v>
      </c>
      <c r="D45" s="502">
        <f>SUM(D41:D44)</f>
        <v>0</v>
      </c>
      <c r="E45" s="502">
        <f>SUM(E41:E44)</f>
        <v>0</v>
      </c>
      <c r="F45" s="502">
        <f>SUM(F41:F44)</f>
        <v>0</v>
      </c>
      <c r="G45" s="401"/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V45" s="401"/>
      <c r="W45" s="401"/>
      <c r="X45" s="401"/>
    </row>
    <row r="46" spans="1:24" ht="18" x14ac:dyDescent="0.35">
      <c r="A46" s="398" t="s">
        <v>473</v>
      </c>
      <c r="B46" s="399" t="s">
        <v>474</v>
      </c>
      <c r="C46" s="495"/>
      <c r="D46" s="494">
        <f>C46</f>
        <v>0</v>
      </c>
      <c r="E46" s="494">
        <f t="shared" si="3"/>
        <v>0</v>
      </c>
      <c r="F46" s="494">
        <f t="shared" si="3"/>
        <v>0</v>
      </c>
      <c r="G46" s="401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  <c r="T46" s="401"/>
      <c r="U46" s="401"/>
      <c r="V46" s="401"/>
      <c r="W46" s="401"/>
      <c r="X46" s="401"/>
    </row>
    <row r="47" spans="1:24" ht="18" x14ac:dyDescent="0.35">
      <c r="A47" s="391" t="s">
        <v>315</v>
      </c>
      <c r="B47" s="399" t="s">
        <v>316</v>
      </c>
      <c r="C47" s="495"/>
      <c r="D47" s="494">
        <f>C47</f>
        <v>0</v>
      </c>
      <c r="E47" s="494">
        <f t="shared" si="3"/>
        <v>0</v>
      </c>
      <c r="F47" s="494">
        <f t="shared" si="3"/>
        <v>0</v>
      </c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  <c r="T47" s="401"/>
      <c r="U47" s="401"/>
      <c r="V47" s="401"/>
      <c r="W47" s="401"/>
      <c r="X47" s="401"/>
    </row>
    <row r="48" spans="1:24" ht="18" thickBot="1" x14ac:dyDescent="0.35">
      <c r="A48" s="405" t="s">
        <v>317</v>
      </c>
      <c r="B48" s="406" t="s">
        <v>318</v>
      </c>
      <c r="C48" s="499">
        <f>C45+C46+C47</f>
        <v>0</v>
      </c>
      <c r="D48" s="499">
        <f>D45+D46+D47</f>
        <v>0</v>
      </c>
      <c r="E48" s="499">
        <f>E45+E46+E47</f>
        <v>0</v>
      </c>
      <c r="F48" s="499">
        <f>F45+F46+F47</f>
        <v>0</v>
      </c>
      <c r="G48" s="401"/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1"/>
      <c r="T48" s="401"/>
      <c r="U48" s="401"/>
      <c r="V48" s="401"/>
      <c r="W48" s="401"/>
      <c r="X48" s="401"/>
    </row>
    <row r="49" spans="1:24" ht="18" thickBot="1" x14ac:dyDescent="0.35">
      <c r="A49" s="407" t="s">
        <v>234</v>
      </c>
      <c r="B49" s="408"/>
      <c r="C49" s="500">
        <f>C48+C38</f>
        <v>2410359</v>
      </c>
      <c r="D49" s="500">
        <f>D48+D38</f>
        <v>2489899.8139999998</v>
      </c>
      <c r="E49" s="500">
        <f>E48+E38</f>
        <v>2489899.8139999998</v>
      </c>
      <c r="F49" s="500">
        <f>F48+F38</f>
        <v>2489899.8139999998</v>
      </c>
      <c r="G49" s="401"/>
      <c r="H49" s="401"/>
      <c r="I49" s="401"/>
      <c r="J49" s="401"/>
      <c r="K49" s="401"/>
      <c r="L49" s="401"/>
      <c r="M49" s="401"/>
      <c r="N49" s="401"/>
      <c r="O49" s="401"/>
      <c r="P49" s="401"/>
      <c r="Q49" s="401"/>
      <c r="R49" s="401"/>
      <c r="S49" s="401"/>
      <c r="T49" s="401"/>
      <c r="U49" s="401"/>
      <c r="V49" s="401"/>
      <c r="W49" s="401"/>
      <c r="X49" s="401"/>
    </row>
    <row r="50" spans="1:24" hidden="1" x14ac:dyDescent="0.3">
      <c r="B50" s="401"/>
      <c r="C50" s="418"/>
      <c r="D50" s="418"/>
      <c r="E50" s="418"/>
      <c r="F50" s="401"/>
      <c r="G50" s="401"/>
      <c r="H50" s="401"/>
      <c r="I50" s="401"/>
      <c r="J50" s="401"/>
      <c r="K50" s="401"/>
      <c r="L50" s="401"/>
      <c r="M50" s="401"/>
      <c r="N50" s="401"/>
      <c r="O50" s="401"/>
      <c r="P50" s="401"/>
      <c r="Q50" s="401"/>
      <c r="R50" s="401"/>
      <c r="S50" s="401"/>
      <c r="T50" s="401"/>
      <c r="U50" s="401"/>
      <c r="V50" s="401"/>
      <c r="W50" s="401"/>
      <c r="X50" s="401"/>
    </row>
    <row r="51" spans="1:24" hidden="1" x14ac:dyDescent="0.3">
      <c r="B51" s="401"/>
      <c r="C51" s="418">
        <f>C23-C49</f>
        <v>-0.14000000013038516</v>
      </c>
      <c r="D51" s="418">
        <f>D23-D49</f>
        <v>-0.11161999963223934</v>
      </c>
      <c r="E51" s="418">
        <f>E23-E49</f>
        <v>-0.11161999963223934</v>
      </c>
      <c r="F51" s="418">
        <f>F23-F49</f>
        <v>-0.11161999963223934</v>
      </c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01"/>
      <c r="U51" s="401"/>
      <c r="V51" s="401"/>
      <c r="W51" s="401"/>
      <c r="X51" s="401"/>
    </row>
    <row r="52" spans="1:24" hidden="1" x14ac:dyDescent="0.3">
      <c r="B52" s="401"/>
      <c r="C52" s="418">
        <f>C23-'2.Kiadások_részletes '!L35</f>
        <v>0</v>
      </c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1"/>
      <c r="P52" s="401"/>
      <c r="Q52" s="401"/>
      <c r="R52" s="401"/>
      <c r="S52" s="401"/>
      <c r="T52" s="401"/>
      <c r="U52" s="401"/>
      <c r="V52" s="401"/>
      <c r="W52" s="401"/>
      <c r="X52" s="401"/>
    </row>
    <row r="53" spans="1:24" hidden="1" x14ac:dyDescent="0.3">
      <c r="B53" s="401"/>
      <c r="C53" s="418">
        <f>C49-'2.Bevételek_részletes'!L45</f>
        <v>0</v>
      </c>
      <c r="D53" s="401"/>
      <c r="E53" s="401"/>
      <c r="F53" s="401"/>
      <c r="G53" s="401"/>
      <c r="H53" s="401"/>
      <c r="I53" s="401"/>
      <c r="J53" s="401"/>
      <c r="K53" s="401"/>
      <c r="L53" s="401"/>
      <c r="M53" s="401"/>
      <c r="N53" s="401"/>
      <c r="O53" s="401"/>
      <c r="P53" s="401"/>
      <c r="Q53" s="401"/>
      <c r="R53" s="401"/>
      <c r="S53" s="401"/>
      <c r="T53" s="401"/>
      <c r="U53" s="401"/>
      <c r="V53" s="401"/>
      <c r="W53" s="401"/>
      <c r="X53" s="401"/>
    </row>
    <row r="54" spans="1:24" hidden="1" x14ac:dyDescent="0.3">
      <c r="B54" s="401"/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</row>
    <row r="55" spans="1:24" hidden="1" x14ac:dyDescent="0.3"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  <c r="R55" s="401"/>
      <c r="S55" s="401"/>
      <c r="T55" s="401"/>
      <c r="U55" s="401"/>
      <c r="V55" s="401"/>
      <c r="W55" s="401"/>
      <c r="X55" s="401"/>
    </row>
    <row r="56" spans="1:24" hidden="1" x14ac:dyDescent="0.3">
      <c r="B56" s="401"/>
      <c r="C56" s="401"/>
      <c r="D56" s="401"/>
      <c r="E56" s="401"/>
      <c r="F56" s="401"/>
      <c r="G56" s="401"/>
      <c r="H56" s="401"/>
      <c r="I56" s="401"/>
      <c r="J56" s="401"/>
      <c r="K56" s="401"/>
      <c r="L56" s="401"/>
      <c r="M56" s="401"/>
      <c r="N56" s="401"/>
      <c r="O56" s="401"/>
      <c r="P56" s="401"/>
      <c r="Q56" s="401"/>
      <c r="R56" s="401"/>
      <c r="S56" s="401"/>
      <c r="T56" s="401"/>
      <c r="U56" s="401"/>
      <c r="V56" s="401"/>
      <c r="W56" s="401"/>
      <c r="X56" s="401"/>
    </row>
    <row r="57" spans="1:24" hidden="1" x14ac:dyDescent="0.3">
      <c r="B57" s="401"/>
      <c r="C57" s="401"/>
      <c r="D57" s="401"/>
      <c r="E57" s="401"/>
      <c r="F57" s="401"/>
      <c r="G57" s="401"/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  <c r="T57" s="401"/>
      <c r="U57" s="401"/>
      <c r="V57" s="401"/>
      <c r="W57" s="401"/>
      <c r="X57" s="401"/>
    </row>
    <row r="58" spans="1:24" hidden="1" x14ac:dyDescent="0.3">
      <c r="B58" s="401"/>
      <c r="C58" s="401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1"/>
      <c r="O58" s="401"/>
      <c r="P58" s="401"/>
      <c r="Q58" s="401"/>
      <c r="R58" s="401"/>
      <c r="S58" s="401"/>
      <c r="T58" s="401"/>
      <c r="U58" s="401"/>
      <c r="V58" s="401"/>
      <c r="W58" s="401"/>
      <c r="X58" s="401"/>
    </row>
    <row r="59" spans="1:24" hidden="1" x14ac:dyDescent="0.3">
      <c r="B59" s="401"/>
      <c r="C59" s="401"/>
      <c r="D59" s="401"/>
      <c r="E59" s="401"/>
      <c r="F59" s="401"/>
      <c r="G59" s="401"/>
      <c r="H59" s="401"/>
      <c r="I59" s="401"/>
      <c r="J59" s="401"/>
      <c r="K59" s="401"/>
      <c r="L59" s="401"/>
      <c r="M59" s="401"/>
      <c r="N59" s="401"/>
      <c r="O59" s="401"/>
      <c r="P59" s="401"/>
      <c r="Q59" s="401"/>
      <c r="R59" s="401"/>
      <c r="S59" s="401"/>
      <c r="T59" s="401"/>
      <c r="U59" s="401"/>
      <c r="V59" s="401"/>
      <c r="W59" s="401"/>
      <c r="X59" s="401"/>
    </row>
    <row r="60" spans="1:24" hidden="1" x14ac:dyDescent="0.3">
      <c r="B60" s="401"/>
      <c r="C60" s="401"/>
      <c r="D60" s="401"/>
      <c r="E60" s="401"/>
      <c r="F60" s="401"/>
      <c r="G60" s="401"/>
      <c r="H60" s="401"/>
      <c r="I60" s="401"/>
      <c r="J60" s="401"/>
      <c r="K60" s="401"/>
      <c r="L60" s="401"/>
      <c r="M60" s="401"/>
      <c r="N60" s="401"/>
      <c r="O60" s="401"/>
      <c r="P60" s="401"/>
      <c r="Q60" s="401"/>
      <c r="R60" s="401"/>
      <c r="S60" s="401"/>
      <c r="T60" s="401"/>
      <c r="U60" s="401"/>
      <c r="V60" s="401"/>
      <c r="W60" s="401"/>
      <c r="X60" s="401"/>
    </row>
    <row r="61" spans="1:24" hidden="1" x14ac:dyDescent="0.3">
      <c r="B61" s="401"/>
      <c r="C61" s="401"/>
      <c r="D61" s="401"/>
      <c r="E61" s="401"/>
      <c r="F61" s="401"/>
      <c r="G61" s="401"/>
      <c r="H61" s="401"/>
      <c r="I61" s="401"/>
      <c r="J61" s="401"/>
      <c r="K61" s="401"/>
      <c r="L61" s="401"/>
      <c r="M61" s="401"/>
      <c r="N61" s="401"/>
      <c r="O61" s="401"/>
      <c r="P61" s="401"/>
      <c r="Q61" s="401"/>
      <c r="R61" s="401"/>
      <c r="S61" s="401"/>
      <c r="T61" s="401"/>
      <c r="U61" s="401"/>
      <c r="V61" s="401"/>
      <c r="W61" s="401"/>
      <c r="X61" s="401"/>
    </row>
    <row r="62" spans="1:24" hidden="1" x14ac:dyDescent="0.3">
      <c r="B62" s="401"/>
      <c r="C62" s="401"/>
      <c r="D62" s="401"/>
      <c r="E62" s="401"/>
      <c r="F62" s="401"/>
      <c r="G62" s="401"/>
      <c r="H62" s="401"/>
      <c r="I62" s="401"/>
      <c r="J62" s="401"/>
      <c r="K62" s="401"/>
      <c r="L62" s="401"/>
      <c r="M62" s="401"/>
      <c r="N62" s="401"/>
      <c r="O62" s="401"/>
      <c r="P62" s="401"/>
      <c r="Q62" s="401"/>
      <c r="R62" s="401"/>
      <c r="S62" s="401"/>
      <c r="T62" s="401"/>
      <c r="U62" s="401"/>
      <c r="V62" s="401"/>
      <c r="W62" s="401"/>
      <c r="X62" s="401"/>
    </row>
    <row r="63" spans="1:24" hidden="1" x14ac:dyDescent="0.3">
      <c r="B63" s="401"/>
      <c r="C63" s="401"/>
      <c r="D63" s="401"/>
      <c r="E63" s="401"/>
      <c r="F63" s="401"/>
      <c r="G63" s="401"/>
      <c r="H63" s="401"/>
      <c r="I63" s="401"/>
      <c r="J63" s="401"/>
      <c r="K63" s="401"/>
      <c r="L63" s="401"/>
      <c r="M63" s="401"/>
      <c r="N63" s="401"/>
      <c r="O63" s="401"/>
      <c r="P63" s="401"/>
      <c r="Q63" s="401"/>
      <c r="R63" s="401"/>
      <c r="S63" s="401"/>
      <c r="T63" s="401"/>
      <c r="U63" s="401"/>
      <c r="V63" s="401"/>
      <c r="W63" s="401"/>
      <c r="X63" s="401"/>
    </row>
    <row r="64" spans="1:24" hidden="1" x14ac:dyDescent="0.3"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</row>
    <row r="65" spans="2:24" hidden="1" x14ac:dyDescent="0.3">
      <c r="B65" s="401"/>
      <c r="C65" s="401"/>
      <c r="D65" s="401"/>
      <c r="E65" s="401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</row>
    <row r="66" spans="2:24" x14ac:dyDescent="0.3">
      <c r="B66" s="401"/>
      <c r="C66" s="401"/>
      <c r="D66" s="401"/>
      <c r="E66" s="401"/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01"/>
      <c r="U66" s="401"/>
      <c r="V66" s="401"/>
      <c r="W66" s="401"/>
      <c r="X66" s="401"/>
    </row>
    <row r="67" spans="2:24" x14ac:dyDescent="0.3">
      <c r="B67" s="401"/>
      <c r="C67" s="401"/>
      <c r="D67" s="401"/>
      <c r="E67" s="401"/>
      <c r="F67" s="401"/>
      <c r="G67" s="401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401"/>
      <c r="T67" s="401"/>
      <c r="U67" s="401"/>
      <c r="V67" s="401"/>
      <c r="W67" s="401"/>
      <c r="X67" s="401"/>
    </row>
    <row r="68" spans="2:24" x14ac:dyDescent="0.3">
      <c r="B68" s="401"/>
      <c r="C68" s="401"/>
      <c r="D68" s="401"/>
      <c r="E68" s="401"/>
      <c r="F68" s="401"/>
      <c r="G68" s="401"/>
      <c r="H68" s="401"/>
      <c r="I68" s="401"/>
      <c r="J68" s="401"/>
      <c r="K68" s="401"/>
      <c r="L68" s="401"/>
      <c r="M68" s="401"/>
      <c r="N68" s="401"/>
      <c r="O68" s="401"/>
      <c r="P68" s="401"/>
      <c r="Q68" s="401"/>
      <c r="R68" s="401"/>
      <c r="S68" s="401"/>
      <c r="T68" s="401"/>
      <c r="U68" s="401"/>
      <c r="V68" s="401"/>
      <c r="W68" s="401"/>
      <c r="X68" s="401"/>
    </row>
    <row r="69" spans="2:24" x14ac:dyDescent="0.3">
      <c r="B69" s="401"/>
      <c r="C69" s="401"/>
      <c r="D69" s="401"/>
      <c r="E69" s="401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  <c r="T69" s="401"/>
      <c r="U69" s="401"/>
      <c r="V69" s="401"/>
      <c r="W69" s="401"/>
      <c r="X69" s="401"/>
    </row>
    <row r="70" spans="2:24" x14ac:dyDescent="0.3">
      <c r="B70" s="401"/>
      <c r="C70" s="401"/>
      <c r="D70" s="401"/>
      <c r="E70" s="401"/>
      <c r="F70" s="401"/>
      <c r="G70" s="401"/>
      <c r="H70" s="401"/>
      <c r="I70" s="401"/>
      <c r="J70" s="401"/>
      <c r="K70" s="401"/>
      <c r="L70" s="401"/>
      <c r="M70" s="401"/>
      <c r="N70" s="401"/>
      <c r="O70" s="401"/>
      <c r="P70" s="401"/>
      <c r="Q70" s="401"/>
      <c r="R70" s="401"/>
      <c r="S70" s="401"/>
      <c r="T70" s="401"/>
      <c r="U70" s="401"/>
      <c r="V70" s="401"/>
      <c r="W70" s="401"/>
      <c r="X70" s="401"/>
    </row>
    <row r="71" spans="2:24" x14ac:dyDescent="0.3">
      <c r="B71" s="401"/>
      <c r="C71" s="401"/>
      <c r="D71" s="401"/>
      <c r="E71" s="401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  <c r="T71" s="401"/>
      <c r="U71" s="401"/>
      <c r="V71" s="401"/>
      <c r="W71" s="401"/>
      <c r="X71" s="401"/>
    </row>
    <row r="72" spans="2:24" x14ac:dyDescent="0.3">
      <c r="B72" s="401"/>
      <c r="C72" s="401"/>
      <c r="D72" s="401"/>
      <c r="E72" s="401"/>
      <c r="F72" s="401"/>
      <c r="G72" s="401"/>
      <c r="H72" s="401"/>
      <c r="I72" s="401"/>
      <c r="J72" s="401"/>
      <c r="K72" s="401"/>
      <c r="L72" s="401"/>
      <c r="M72" s="401"/>
      <c r="N72" s="401"/>
      <c r="O72" s="401"/>
      <c r="P72" s="401"/>
      <c r="Q72" s="401"/>
      <c r="R72" s="401"/>
      <c r="S72" s="401"/>
      <c r="T72" s="401"/>
      <c r="U72" s="401"/>
      <c r="V72" s="401"/>
      <c r="W72" s="401"/>
      <c r="X72" s="401"/>
    </row>
    <row r="73" spans="2:24" x14ac:dyDescent="0.3">
      <c r="B73" s="401"/>
      <c r="C73" s="401"/>
      <c r="D73" s="401"/>
      <c r="E73" s="401"/>
      <c r="F73" s="401"/>
      <c r="G73" s="401"/>
      <c r="H73" s="401"/>
      <c r="I73" s="401"/>
      <c r="J73" s="401"/>
      <c r="K73" s="401"/>
      <c r="L73" s="401"/>
      <c r="M73" s="401"/>
      <c r="N73" s="401"/>
      <c r="O73" s="401"/>
      <c r="P73" s="401"/>
      <c r="Q73" s="401"/>
      <c r="R73" s="401"/>
      <c r="S73" s="401"/>
      <c r="T73" s="401"/>
      <c r="U73" s="401"/>
      <c r="V73" s="401"/>
      <c r="W73" s="401"/>
      <c r="X73" s="401"/>
    </row>
  </sheetData>
  <mergeCells count="5">
    <mergeCell ref="A1:F1"/>
    <mergeCell ref="A2:F2"/>
    <mergeCell ref="A3:F3"/>
    <mergeCell ref="A4:F4"/>
    <mergeCell ref="A25:F25"/>
  </mergeCells>
  <hyperlinks>
    <hyperlink ref="G1" location="Munka1!A1" display="Munka1!A1" xr:uid="{00000000-0004-0000-2200-000000000000}"/>
  </hyperlinks>
  <printOptions horizontalCentered="1"/>
  <pageMargins left="0.31496062992125984" right="0.43307086614173229" top="0.23622047244094491" bottom="0.23622047244094491" header="0.51181102362204722" footer="0.51181102362204722"/>
  <pageSetup paperSize="9" scale="78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J62"/>
  <sheetViews>
    <sheetView view="pageBreakPreview" zoomScaleSheetLayoutView="100" workbookViewId="0">
      <selection activeCell="B4" sqref="B1:B1048576"/>
    </sheetView>
  </sheetViews>
  <sheetFormatPr defaultColWidth="9.109375" defaultRowHeight="22.8" x14ac:dyDescent="0.4"/>
  <cols>
    <col min="1" max="1" width="102.88671875" style="962" customWidth="1"/>
    <col min="2" max="2" width="23" style="962" customWidth="1"/>
    <col min="3" max="4" width="21.109375" style="978" customWidth="1"/>
    <col min="5" max="5" width="17.6640625" style="978" customWidth="1"/>
    <col min="6" max="6" width="17.6640625" style="962" customWidth="1"/>
    <col min="7" max="7" width="13.5546875" style="962" customWidth="1"/>
    <col min="8" max="8" width="20.6640625" style="962" customWidth="1"/>
    <col min="9" max="9" width="18" style="962" customWidth="1"/>
    <col min="10" max="10" width="9.33203125" style="962" bestFit="1" customWidth="1"/>
    <col min="11" max="16384" width="9.109375" style="962"/>
  </cols>
  <sheetData>
    <row r="1" spans="1:10" ht="51.75" customHeight="1" x14ac:dyDescent="0.4">
      <c r="A1" s="1908" t="s">
        <v>801</v>
      </c>
      <c r="B1" s="1908"/>
      <c r="C1" s="1908"/>
      <c r="D1" s="1908"/>
      <c r="E1" s="1908"/>
      <c r="F1" s="1908"/>
      <c r="G1" s="964"/>
      <c r="H1" s="964"/>
    </row>
    <row r="2" spans="1:10" ht="27.75" customHeight="1" x14ac:dyDescent="0.4">
      <c r="A2" s="1908" t="s">
        <v>802</v>
      </c>
      <c r="B2" s="1908"/>
      <c r="C2" s="1908"/>
      <c r="D2" s="1908"/>
      <c r="E2" s="1908"/>
      <c r="F2" s="1908"/>
      <c r="G2" s="964"/>
      <c r="H2" s="964"/>
    </row>
    <row r="3" spans="1:10" ht="57.75" customHeight="1" x14ac:dyDescent="0.4">
      <c r="A3" s="1928" t="s">
        <v>658</v>
      </c>
      <c r="B3" s="1928"/>
      <c r="C3" s="1929"/>
      <c r="D3" s="1929"/>
      <c r="E3" s="1929"/>
      <c r="F3" s="1929"/>
    </row>
    <row r="4" spans="1:10" ht="46.5" customHeight="1" x14ac:dyDescent="0.4">
      <c r="A4" s="965"/>
      <c r="B4" s="965"/>
      <c r="C4" s="966"/>
      <c r="D4" s="966"/>
      <c r="E4" s="966"/>
      <c r="F4" s="967" t="s">
        <v>671</v>
      </c>
    </row>
    <row r="5" spans="1:10" ht="27.75" customHeight="1" thickBot="1" x14ac:dyDescent="0.45">
      <c r="A5" s="1063" t="s">
        <v>660</v>
      </c>
      <c r="B5" s="965"/>
      <c r="C5" s="966"/>
      <c r="D5" s="966"/>
      <c r="E5" s="966"/>
      <c r="F5" s="1064" t="s">
        <v>659</v>
      </c>
    </row>
    <row r="6" spans="1:10" ht="45.75" customHeight="1" x14ac:dyDescent="0.4">
      <c r="A6" s="1930" t="s">
        <v>665</v>
      </c>
      <c r="B6" s="1931"/>
      <c r="C6" s="1931"/>
      <c r="D6" s="1931"/>
      <c r="E6" s="1931"/>
      <c r="F6" s="1932"/>
    </row>
    <row r="7" spans="1:10" s="727" customFormat="1" ht="33" customHeight="1" x14ac:dyDescent="0.3">
      <c r="A7" s="1065" t="s">
        <v>47</v>
      </c>
      <c r="B7" s="1066" t="s">
        <v>690</v>
      </c>
      <c r="C7" s="1066" t="s">
        <v>691</v>
      </c>
      <c r="D7" s="1067" t="s">
        <v>694</v>
      </c>
      <c r="E7" s="1066"/>
      <c r="F7" s="1068" t="s">
        <v>319</v>
      </c>
      <c r="G7" s="968"/>
      <c r="H7" s="968"/>
      <c r="I7" s="969"/>
      <c r="J7" s="968"/>
    </row>
    <row r="8" spans="1:10" s="727" customFormat="1" ht="45.75" customHeight="1" x14ac:dyDescent="0.3">
      <c r="A8" s="1069" t="s">
        <v>661</v>
      </c>
      <c r="B8" s="1070">
        <v>9000</v>
      </c>
      <c r="C8" s="1070">
        <v>0</v>
      </c>
      <c r="D8" s="1071">
        <v>0</v>
      </c>
      <c r="E8" s="1071"/>
      <c r="F8" s="1072">
        <f>SUM(B8:C8)</f>
        <v>9000</v>
      </c>
      <c r="G8" s="968"/>
      <c r="H8" s="968"/>
      <c r="I8" s="970"/>
      <c r="J8" s="968"/>
    </row>
    <row r="9" spans="1:10" s="727" customFormat="1" ht="38.25" customHeight="1" x14ac:dyDescent="0.3">
      <c r="A9" s="1073" t="s">
        <v>662</v>
      </c>
      <c r="B9" s="1070">
        <v>0</v>
      </c>
      <c r="C9" s="1070">
        <v>0</v>
      </c>
      <c r="D9" s="1071">
        <v>0</v>
      </c>
      <c r="E9" s="1071"/>
      <c r="F9" s="1072">
        <f>SUM(B9:C9)</f>
        <v>0</v>
      </c>
      <c r="G9" s="968"/>
      <c r="H9" s="968"/>
      <c r="I9" s="969"/>
      <c r="J9" s="968"/>
    </row>
    <row r="10" spans="1:10" s="727" customFormat="1" ht="44.25" customHeight="1" x14ac:dyDescent="0.3">
      <c r="A10" s="1069" t="s">
        <v>663</v>
      </c>
      <c r="B10" s="1070">
        <v>0</v>
      </c>
      <c r="C10" s="1070">
        <v>0</v>
      </c>
      <c r="D10" s="1071">
        <v>0</v>
      </c>
      <c r="E10" s="1071"/>
      <c r="F10" s="1072">
        <f>SUM(B10:C10)</f>
        <v>0</v>
      </c>
      <c r="G10" s="968"/>
      <c r="H10" s="968"/>
      <c r="I10" s="970"/>
      <c r="J10" s="968"/>
    </row>
    <row r="11" spans="1:10" s="727" customFormat="1" ht="38.25" customHeight="1" thickBot="1" x14ac:dyDescent="0.35">
      <c r="A11" s="1074" t="s">
        <v>669</v>
      </c>
      <c r="B11" s="1075">
        <f>SUM(B8:B10)</f>
        <v>9000</v>
      </c>
      <c r="C11" s="1075">
        <f>SUM(C8:C10)</f>
        <v>0</v>
      </c>
      <c r="D11" s="1075">
        <f>SUM(D8:D10)</f>
        <v>0</v>
      </c>
      <c r="E11" s="1075"/>
      <c r="F11" s="1076">
        <f>SUM(F8:F10)</f>
        <v>9000</v>
      </c>
      <c r="G11" s="968"/>
      <c r="H11" s="968"/>
      <c r="I11" s="968"/>
      <c r="J11" s="968"/>
    </row>
    <row r="12" spans="1:10" s="963" customFormat="1" ht="27.75" customHeight="1" thickBot="1" x14ac:dyDescent="0.35">
      <c r="A12" s="1933"/>
      <c r="B12" s="1933"/>
      <c r="C12" s="1933"/>
      <c r="D12" s="1933"/>
      <c r="E12" s="1933"/>
      <c r="F12" s="1933"/>
      <c r="G12" s="971"/>
      <c r="H12" s="971"/>
      <c r="I12" s="971"/>
      <c r="J12" s="971"/>
    </row>
    <row r="13" spans="1:10" s="963" customFormat="1" ht="37.5" customHeight="1" thickBot="1" x14ac:dyDescent="0.35">
      <c r="A13" s="1077" t="s">
        <v>48</v>
      </c>
      <c r="B13" s="1078" t="s">
        <v>692</v>
      </c>
      <c r="C13" s="1078" t="s">
        <v>691</v>
      </c>
      <c r="D13" s="1078" t="s">
        <v>694</v>
      </c>
      <c r="E13" s="1078" t="s">
        <v>732</v>
      </c>
      <c r="F13" s="1080" t="s">
        <v>319</v>
      </c>
      <c r="G13" s="971"/>
      <c r="H13" s="971"/>
      <c r="I13" s="971"/>
      <c r="J13" s="971"/>
    </row>
    <row r="14" spans="1:10" s="963" customFormat="1" ht="37.5" customHeight="1" x14ac:dyDescent="0.3">
      <c r="A14" s="1081" t="s">
        <v>668</v>
      </c>
      <c r="B14" s="1082"/>
      <c r="C14" s="1082">
        <f>450+220</f>
        <v>670</v>
      </c>
      <c r="D14" s="1083"/>
      <c r="E14" s="1083"/>
      <c r="F14" s="1084"/>
      <c r="G14" s="971"/>
      <c r="H14" s="971"/>
      <c r="I14" s="971"/>
      <c r="J14" s="971"/>
    </row>
    <row r="15" spans="1:10" s="963" customFormat="1" ht="37.5" customHeight="1" x14ac:dyDescent="0.3">
      <c r="A15" s="1081" t="s">
        <v>667</v>
      </c>
      <c r="B15" s="1085">
        <v>0</v>
      </c>
      <c r="C15" s="1085">
        <f>5850+75+44</f>
        <v>5969</v>
      </c>
      <c r="D15" s="1086"/>
      <c r="E15" s="1086"/>
      <c r="F15" s="1087">
        <f>SUM(B15:E15)</f>
        <v>5969</v>
      </c>
      <c r="G15" s="971"/>
      <c r="H15" s="971"/>
      <c r="I15" s="971"/>
      <c r="J15" s="971"/>
    </row>
    <row r="16" spans="1:10" s="963" customFormat="1" ht="37.5" customHeight="1" x14ac:dyDescent="0.3">
      <c r="A16" s="1081" t="s">
        <v>664</v>
      </c>
      <c r="B16" s="1088">
        <v>2160</v>
      </c>
      <c r="C16" s="1088">
        <v>0</v>
      </c>
      <c r="D16" s="1089"/>
      <c r="E16" s="1089"/>
      <c r="F16" s="1090">
        <f>SUM(B16:C16)</f>
        <v>2160</v>
      </c>
      <c r="G16" s="971"/>
      <c r="H16" s="971"/>
      <c r="I16" s="971"/>
      <c r="J16" s="971"/>
    </row>
    <row r="17" spans="1:10" s="963" customFormat="1" ht="37.5" customHeight="1" thickBot="1" x14ac:dyDescent="0.35">
      <c r="A17" s="1081" t="s">
        <v>709</v>
      </c>
      <c r="B17" s="1088">
        <v>0</v>
      </c>
      <c r="C17" s="1088">
        <v>0</v>
      </c>
      <c r="D17" s="1089">
        <v>201</v>
      </c>
      <c r="E17" s="1089"/>
      <c r="F17" s="1090">
        <f>SUM(B17:D17)</f>
        <v>201</v>
      </c>
      <c r="G17" s="972"/>
      <c r="H17" s="971"/>
      <c r="I17" s="971"/>
      <c r="J17" s="971"/>
    </row>
    <row r="18" spans="1:10" s="963" customFormat="1" ht="37.5" customHeight="1" thickBot="1" x14ac:dyDescent="0.35">
      <c r="A18" s="1077" t="s">
        <v>666</v>
      </c>
      <c r="B18" s="1091">
        <f>SUM(B14:B17)</f>
        <v>2160</v>
      </c>
      <c r="C18" s="1091">
        <f>SUM(C14:C17)</f>
        <v>6639</v>
      </c>
      <c r="D18" s="1092">
        <f>SUM(D15:D17)</f>
        <v>201</v>
      </c>
      <c r="E18" s="1092"/>
      <c r="F18" s="1093">
        <f>SUM(B18:D18)</f>
        <v>9000</v>
      </c>
      <c r="G18" s="971"/>
      <c r="H18" s="971"/>
      <c r="I18" s="971"/>
      <c r="J18" s="971"/>
    </row>
    <row r="19" spans="1:10" s="963" customFormat="1" ht="37.5" customHeight="1" thickBot="1" x14ac:dyDescent="0.35">
      <c r="A19" s="1094"/>
      <c r="B19" s="1095"/>
      <c r="C19" s="1095"/>
      <c r="D19" s="1095"/>
      <c r="E19" s="1095"/>
      <c r="F19" s="1095"/>
      <c r="G19" s="971"/>
      <c r="H19" s="971"/>
      <c r="I19" s="971"/>
      <c r="J19" s="971"/>
    </row>
    <row r="20" spans="1:10" ht="27.75" customHeight="1" thickBot="1" x14ac:dyDescent="0.45">
      <c r="A20" s="1925" t="s">
        <v>670</v>
      </c>
      <c r="B20" s="1926"/>
      <c r="C20" s="1926"/>
      <c r="D20" s="1926"/>
      <c r="E20" s="1926"/>
      <c r="F20" s="1927"/>
      <c r="G20" s="973"/>
      <c r="H20" s="973"/>
      <c r="I20" s="973"/>
      <c r="J20" s="973"/>
    </row>
    <row r="21" spans="1:10" s="963" customFormat="1" ht="37.5" customHeight="1" x14ac:dyDescent="0.3">
      <c r="A21" s="1096" t="s">
        <v>47</v>
      </c>
      <c r="B21" s="1097" t="s">
        <v>692</v>
      </c>
      <c r="C21" s="1097" t="s">
        <v>652</v>
      </c>
      <c r="D21" s="1067" t="s">
        <v>694</v>
      </c>
      <c r="E21" s="1098"/>
      <c r="F21" s="1099" t="s">
        <v>319</v>
      </c>
      <c r="G21" s="971"/>
      <c r="H21" s="971"/>
      <c r="I21" s="971"/>
      <c r="J21" s="971"/>
    </row>
    <row r="22" spans="1:10" ht="46.2" thickBot="1" x14ac:dyDescent="0.45">
      <c r="A22" s="1100" t="s">
        <v>684</v>
      </c>
      <c r="B22" s="1101">
        <v>16740</v>
      </c>
      <c r="C22" s="1101">
        <v>0</v>
      </c>
      <c r="D22" s="1174"/>
      <c r="E22" s="1102"/>
      <c r="F22" s="1103">
        <f>SUM(B22:E22)</f>
        <v>16740</v>
      </c>
      <c r="G22" s="973"/>
      <c r="H22" s="973"/>
      <c r="I22" s="973"/>
      <c r="J22" s="973"/>
    </row>
    <row r="23" spans="1:10" ht="27.75" customHeight="1" x14ac:dyDescent="0.4">
      <c r="A23" s="1063"/>
      <c r="B23" s="1104"/>
      <c r="C23" s="1105"/>
      <c r="D23" s="1105"/>
      <c r="E23" s="1105"/>
      <c r="F23" s="1105"/>
      <c r="G23" s="973"/>
      <c r="H23" s="973"/>
      <c r="I23" s="973"/>
      <c r="J23" s="973"/>
    </row>
    <row r="24" spans="1:10" ht="27.75" customHeight="1" thickBot="1" x14ac:dyDescent="0.45">
      <c r="A24" s="1063"/>
      <c r="B24" s="1104"/>
      <c r="C24" s="1105"/>
      <c r="D24" s="1105"/>
      <c r="E24" s="1105"/>
      <c r="F24" s="1105"/>
      <c r="G24" s="973"/>
      <c r="H24" s="973"/>
      <c r="I24" s="973"/>
      <c r="J24" s="973"/>
    </row>
    <row r="25" spans="1:10" ht="27.75" customHeight="1" thickBot="1" x14ac:dyDescent="0.45">
      <c r="A25" s="1077" t="s">
        <v>48</v>
      </c>
      <c r="B25" s="1078" t="s">
        <v>690</v>
      </c>
      <c r="C25" s="1078" t="s">
        <v>691</v>
      </c>
      <c r="D25" s="1078" t="s">
        <v>694</v>
      </c>
      <c r="E25" s="1079"/>
      <c r="F25" s="1080" t="s">
        <v>319</v>
      </c>
      <c r="G25" s="973"/>
      <c r="H25" s="973"/>
      <c r="I25" s="973"/>
      <c r="J25" s="973"/>
    </row>
    <row r="26" spans="1:10" ht="27.75" customHeight="1" x14ac:dyDescent="0.4">
      <c r="A26" s="1081" t="s">
        <v>668</v>
      </c>
      <c r="B26" s="1082"/>
      <c r="C26" s="1082">
        <v>400</v>
      </c>
      <c r="D26" s="1083"/>
      <c r="E26" s="1083"/>
      <c r="F26" s="1084">
        <f>SUM(B26:C26)</f>
        <v>400</v>
      </c>
      <c r="G26" s="973"/>
      <c r="H26" s="973"/>
      <c r="I26" s="973"/>
      <c r="J26" s="973"/>
    </row>
    <row r="27" spans="1:10" ht="27.75" customHeight="1" x14ac:dyDescent="0.4">
      <c r="A27" s="1081" t="s">
        <v>667</v>
      </c>
      <c r="B27" s="1085">
        <v>0</v>
      </c>
      <c r="C27" s="1085">
        <v>309</v>
      </c>
      <c r="D27" s="1086"/>
      <c r="E27" s="1086"/>
      <c r="F27" s="1087">
        <f>SUM(B27:C27)</f>
        <v>309</v>
      </c>
      <c r="G27" s="973"/>
      <c r="H27" s="973"/>
      <c r="I27" s="973"/>
      <c r="J27" s="973"/>
    </row>
    <row r="28" spans="1:10" ht="27.75" customHeight="1" x14ac:dyDescent="0.4">
      <c r="A28" s="1073" t="s">
        <v>664</v>
      </c>
      <c r="B28" s="1070">
        <v>3294</v>
      </c>
      <c r="C28" s="1070">
        <v>11201</v>
      </c>
      <c r="D28" s="1071"/>
      <c r="E28" s="1071"/>
      <c r="F28" s="1072">
        <f>SUM(B28:C28)</f>
        <v>14495</v>
      </c>
      <c r="G28" s="973"/>
      <c r="H28" s="973"/>
      <c r="I28" s="973"/>
      <c r="J28" s="973"/>
    </row>
    <row r="29" spans="1:10" ht="27.75" customHeight="1" x14ac:dyDescent="0.4">
      <c r="A29" s="1073" t="s">
        <v>709</v>
      </c>
      <c r="B29" s="1070"/>
      <c r="C29" s="1070" t="s">
        <v>710</v>
      </c>
      <c r="D29" s="1071">
        <v>1536</v>
      </c>
      <c r="E29" s="1071"/>
      <c r="F29" s="1072">
        <f>SUM(B29:D29)</f>
        <v>1536</v>
      </c>
      <c r="G29" s="973"/>
      <c r="H29" s="973"/>
      <c r="I29" s="973"/>
      <c r="J29" s="973"/>
    </row>
    <row r="30" spans="1:10" ht="46.2" thickBot="1" x14ac:dyDescent="0.45">
      <c r="A30" s="1106" t="s">
        <v>685</v>
      </c>
      <c r="B30" s="1107">
        <f>SUM(B26:B29)</f>
        <v>3294</v>
      </c>
      <c r="C30" s="1107">
        <f>SUM(C26:C29)</f>
        <v>11910</v>
      </c>
      <c r="D30" s="1107">
        <f>SUM(D27:D29)</f>
        <v>1536</v>
      </c>
      <c r="E30" s="1108"/>
      <c r="F30" s="1109">
        <f>SUM(F26:F29)</f>
        <v>16740</v>
      </c>
      <c r="G30" s="973"/>
      <c r="H30" s="973"/>
      <c r="I30" s="973"/>
      <c r="J30" s="973"/>
    </row>
    <row r="31" spans="1:10" ht="27.75" customHeight="1" x14ac:dyDescent="0.4">
      <c r="A31" s="1110"/>
      <c r="B31" s="1110"/>
      <c r="C31" s="1110"/>
      <c r="D31" s="1110"/>
      <c r="E31" s="1110"/>
      <c r="F31" s="1110"/>
      <c r="G31" s="973"/>
      <c r="H31" s="973"/>
      <c r="I31" s="973"/>
      <c r="J31" s="973"/>
    </row>
    <row r="32" spans="1:10" ht="27.75" customHeight="1" x14ac:dyDescent="0.4">
      <c r="A32" s="965"/>
      <c r="B32" s="965"/>
      <c r="C32" s="966"/>
      <c r="D32" s="966"/>
      <c r="E32" s="966"/>
      <c r="F32" s="966"/>
      <c r="G32" s="973"/>
      <c r="H32" s="973"/>
      <c r="I32" s="973"/>
      <c r="J32" s="973"/>
    </row>
    <row r="33" spans="1:10" ht="27.75" customHeight="1" x14ac:dyDescent="0.4">
      <c r="A33" s="965"/>
      <c r="B33" s="965"/>
      <c r="C33" s="966"/>
      <c r="D33" s="966"/>
      <c r="E33" s="966"/>
      <c r="F33" s="966"/>
      <c r="G33" s="973"/>
      <c r="H33" s="973"/>
      <c r="I33" s="973"/>
      <c r="J33" s="973"/>
    </row>
    <row r="34" spans="1:10" ht="27.75" customHeight="1" x14ac:dyDescent="0.4">
      <c r="A34" s="965"/>
      <c r="B34" s="965"/>
      <c r="C34" s="966"/>
      <c r="D34" s="966"/>
      <c r="E34" s="966"/>
      <c r="F34" s="966"/>
      <c r="G34" s="973"/>
      <c r="H34" s="973"/>
      <c r="I34" s="973"/>
      <c r="J34" s="973"/>
    </row>
    <row r="35" spans="1:10" ht="27.75" customHeight="1" x14ac:dyDescent="0.4">
      <c r="A35" s="965"/>
      <c r="B35" s="965"/>
      <c r="C35" s="966"/>
      <c r="D35" s="966"/>
      <c r="E35" s="966"/>
      <c r="F35" s="966"/>
      <c r="G35" s="973"/>
      <c r="H35" s="973"/>
      <c r="I35" s="973"/>
      <c r="J35" s="973"/>
    </row>
    <row r="36" spans="1:10" s="975" customFormat="1" ht="27.75" customHeight="1" x14ac:dyDescent="0.4">
      <c r="A36" s="1112"/>
      <c r="B36" s="1112"/>
      <c r="C36" s="1111"/>
      <c r="D36" s="1111"/>
      <c r="E36" s="1111"/>
      <c r="F36" s="1111"/>
      <c r="G36" s="974"/>
      <c r="H36" s="974"/>
      <c r="I36" s="974"/>
      <c r="J36" s="974"/>
    </row>
    <row r="37" spans="1:10" ht="27.75" customHeight="1" x14ac:dyDescent="0.4">
      <c r="A37" s="965"/>
      <c r="B37" s="965"/>
      <c r="C37" s="966"/>
      <c r="D37" s="966"/>
      <c r="E37" s="966"/>
      <c r="F37" s="965"/>
      <c r="G37" s="973"/>
      <c r="H37" s="973"/>
      <c r="I37" s="973"/>
      <c r="J37" s="973"/>
    </row>
    <row r="38" spans="1:10" x14ac:dyDescent="0.4">
      <c r="A38" s="965"/>
      <c r="B38" s="965"/>
      <c r="C38" s="966"/>
      <c r="D38" s="966"/>
      <c r="E38" s="966"/>
      <c r="F38" s="965"/>
      <c r="G38" s="973"/>
      <c r="H38" s="973"/>
      <c r="I38" s="973"/>
      <c r="J38" s="973"/>
    </row>
    <row r="39" spans="1:10" x14ac:dyDescent="0.4">
      <c r="A39" s="965"/>
      <c r="B39" s="965"/>
      <c r="C39" s="966"/>
      <c r="D39" s="966"/>
      <c r="E39" s="966"/>
      <c r="F39" s="965"/>
      <c r="G39" s="973"/>
      <c r="H39" s="973"/>
      <c r="I39" s="973"/>
      <c r="J39" s="973"/>
    </row>
    <row r="40" spans="1:10" x14ac:dyDescent="0.4">
      <c r="A40" s="965"/>
      <c r="B40" s="965"/>
      <c r="C40" s="966"/>
      <c r="D40" s="966"/>
      <c r="E40" s="966"/>
      <c r="F40" s="965"/>
      <c r="G40" s="973"/>
      <c r="H40" s="973"/>
      <c r="I40" s="973"/>
      <c r="J40" s="973"/>
    </row>
    <row r="41" spans="1:10" x14ac:dyDescent="0.4">
      <c r="A41" s="965"/>
      <c r="B41" s="965"/>
      <c r="C41" s="966"/>
      <c r="D41" s="966"/>
      <c r="E41" s="966"/>
      <c r="F41" s="965"/>
      <c r="G41" s="973"/>
      <c r="H41" s="973"/>
      <c r="I41" s="973"/>
      <c r="J41" s="973"/>
    </row>
    <row r="42" spans="1:10" x14ac:dyDescent="0.4">
      <c r="A42" s="965"/>
      <c r="B42" s="965"/>
      <c r="C42" s="966"/>
      <c r="D42" s="966"/>
      <c r="E42" s="966"/>
      <c r="F42" s="965"/>
      <c r="G42" s="973"/>
      <c r="H42" s="973"/>
      <c r="I42" s="973"/>
      <c r="J42" s="973"/>
    </row>
    <row r="43" spans="1:10" x14ac:dyDescent="0.4">
      <c r="A43" s="965"/>
      <c r="B43" s="965"/>
      <c r="C43" s="966"/>
      <c r="D43" s="966"/>
      <c r="E43" s="966"/>
      <c r="F43" s="965"/>
      <c r="G43" s="973"/>
      <c r="H43" s="973"/>
      <c r="I43" s="973"/>
      <c r="J43" s="973"/>
    </row>
    <row r="44" spans="1:10" x14ac:dyDescent="0.4">
      <c r="A44" s="965"/>
      <c r="B44" s="965"/>
      <c r="C44" s="966"/>
      <c r="D44" s="966"/>
      <c r="E44" s="966"/>
      <c r="F44" s="965"/>
      <c r="G44" s="973"/>
      <c r="H44" s="973"/>
      <c r="I44" s="973"/>
      <c r="J44" s="973"/>
    </row>
    <row r="45" spans="1:10" x14ac:dyDescent="0.4">
      <c r="A45" s="965"/>
      <c r="B45" s="965"/>
      <c r="C45" s="966"/>
      <c r="D45" s="966"/>
      <c r="E45" s="966"/>
      <c r="F45" s="965"/>
      <c r="G45" s="973"/>
      <c r="H45" s="973"/>
      <c r="I45" s="973"/>
      <c r="J45" s="973"/>
    </row>
    <row r="46" spans="1:10" x14ac:dyDescent="0.4">
      <c r="A46" s="965"/>
      <c r="B46" s="965"/>
      <c r="C46" s="966"/>
      <c r="D46" s="966"/>
      <c r="E46" s="966"/>
      <c r="F46" s="965"/>
      <c r="G46" s="973"/>
      <c r="H46" s="973"/>
      <c r="I46" s="973"/>
      <c r="J46" s="973"/>
    </row>
    <row r="47" spans="1:10" x14ac:dyDescent="0.4">
      <c r="A47" s="965"/>
      <c r="B47" s="965"/>
      <c r="C47" s="966"/>
      <c r="D47" s="966"/>
      <c r="E47" s="966"/>
      <c r="F47" s="965"/>
      <c r="G47" s="973"/>
      <c r="H47" s="973"/>
      <c r="I47" s="973"/>
      <c r="J47" s="973"/>
    </row>
    <row r="48" spans="1:10" x14ac:dyDescent="0.4">
      <c r="A48" s="965"/>
      <c r="B48" s="965"/>
      <c r="C48" s="966"/>
      <c r="D48" s="966"/>
      <c r="E48" s="966"/>
      <c r="F48" s="965"/>
      <c r="G48" s="973"/>
      <c r="H48" s="973"/>
      <c r="I48" s="973"/>
      <c r="J48" s="973"/>
    </row>
    <row r="49" spans="1:10" x14ac:dyDescent="0.4">
      <c r="A49" s="965"/>
      <c r="B49" s="965"/>
      <c r="C49" s="966"/>
      <c r="D49" s="966"/>
      <c r="E49" s="966"/>
      <c r="F49" s="965"/>
      <c r="G49" s="973"/>
      <c r="H49" s="973"/>
      <c r="I49" s="973"/>
      <c r="J49" s="973"/>
    </row>
    <row r="50" spans="1:10" x14ac:dyDescent="0.4">
      <c r="A50" s="965"/>
      <c r="B50" s="965"/>
      <c r="C50" s="966"/>
      <c r="D50" s="966"/>
      <c r="E50" s="966"/>
      <c r="F50" s="965"/>
      <c r="G50" s="973"/>
      <c r="H50" s="973"/>
      <c r="I50" s="973"/>
      <c r="J50" s="973"/>
    </row>
    <row r="51" spans="1:10" x14ac:dyDescent="0.4">
      <c r="A51" s="965"/>
      <c r="B51" s="965"/>
      <c r="C51" s="966"/>
      <c r="D51" s="966"/>
      <c r="E51" s="966"/>
      <c r="F51" s="965"/>
      <c r="G51" s="973"/>
      <c r="H51" s="973"/>
      <c r="I51" s="973"/>
      <c r="J51" s="973"/>
    </row>
    <row r="52" spans="1:10" x14ac:dyDescent="0.4">
      <c r="A52" s="976"/>
      <c r="B52" s="976"/>
      <c r="C52" s="977"/>
      <c r="D52" s="977"/>
      <c r="E52" s="977"/>
      <c r="F52" s="976"/>
    </row>
    <row r="53" spans="1:10" x14ac:dyDescent="0.4">
      <c r="A53" s="976"/>
      <c r="B53" s="976"/>
      <c r="C53" s="977"/>
      <c r="D53" s="977"/>
      <c r="E53" s="977"/>
      <c r="F53" s="976"/>
    </row>
    <row r="54" spans="1:10" x14ac:dyDescent="0.4">
      <c r="A54" s="976"/>
      <c r="B54" s="976"/>
      <c r="C54" s="977"/>
      <c r="D54" s="977"/>
      <c r="E54" s="977"/>
      <c r="F54" s="976"/>
    </row>
    <row r="55" spans="1:10" x14ac:dyDescent="0.4">
      <c r="A55" s="976"/>
      <c r="B55" s="976"/>
      <c r="C55" s="977"/>
      <c r="D55" s="977"/>
      <c r="E55" s="977"/>
      <c r="F55" s="976"/>
    </row>
    <row r="56" spans="1:10" x14ac:dyDescent="0.4">
      <c r="A56" s="976"/>
      <c r="B56" s="976"/>
      <c r="C56" s="977"/>
      <c r="D56" s="977"/>
      <c r="E56" s="977"/>
      <c r="F56" s="976"/>
    </row>
    <row r="57" spans="1:10" x14ac:dyDescent="0.4">
      <c r="A57" s="976"/>
      <c r="B57" s="976"/>
      <c r="C57" s="977"/>
      <c r="D57" s="977"/>
      <c r="E57" s="977"/>
      <c r="F57" s="976"/>
    </row>
    <row r="58" spans="1:10" x14ac:dyDescent="0.4">
      <c r="A58" s="976"/>
      <c r="B58" s="976"/>
      <c r="C58" s="977"/>
      <c r="D58" s="977"/>
      <c r="E58" s="977"/>
      <c r="F58" s="976"/>
    </row>
    <row r="59" spans="1:10" x14ac:dyDescent="0.4">
      <c r="A59" s="976"/>
      <c r="B59" s="976"/>
      <c r="C59" s="977"/>
      <c r="D59" s="977"/>
      <c r="E59" s="977"/>
      <c r="F59" s="976"/>
    </row>
    <row r="60" spans="1:10" x14ac:dyDescent="0.4">
      <c r="A60" s="976"/>
      <c r="B60" s="976"/>
      <c r="C60" s="977"/>
      <c r="D60" s="977"/>
      <c r="E60" s="977"/>
      <c r="F60" s="976"/>
    </row>
    <row r="61" spans="1:10" x14ac:dyDescent="0.4">
      <c r="A61" s="976"/>
      <c r="B61" s="976"/>
      <c r="C61" s="977"/>
      <c r="D61" s="977"/>
      <c r="E61" s="977"/>
      <c r="F61" s="976"/>
    </row>
    <row r="62" spans="1:10" x14ac:dyDescent="0.4">
      <c r="A62" s="976"/>
      <c r="B62" s="976"/>
      <c r="C62" s="977"/>
      <c r="D62" s="977"/>
      <c r="E62" s="977"/>
      <c r="F62" s="976"/>
    </row>
  </sheetData>
  <mergeCells count="6">
    <mergeCell ref="A20:F20"/>
    <mergeCell ref="A1:F1"/>
    <mergeCell ref="A2:F2"/>
    <mergeCell ref="A3:F3"/>
    <mergeCell ref="A6:F6"/>
    <mergeCell ref="A12:F1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7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3">
    <tabColor rgb="FF92D050"/>
    <pageSetUpPr fitToPage="1"/>
  </sheetPr>
  <dimension ref="A1:N71"/>
  <sheetViews>
    <sheetView view="pageBreakPreview" zoomScale="55" zoomScaleNormal="100" zoomScaleSheetLayoutView="55" workbookViewId="0">
      <pane xSplit="2" ySplit="7" topLeftCell="C8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defaultColWidth="9.109375" defaultRowHeight="18" x14ac:dyDescent="0.35"/>
  <cols>
    <col min="1" max="1" width="13" style="256" customWidth="1"/>
    <col min="2" max="2" width="88" style="256" customWidth="1"/>
    <col min="3" max="4" width="18.44140625" style="256" customWidth="1"/>
    <col min="5" max="8" width="17.44140625" style="256" customWidth="1"/>
    <col min="9" max="10" width="20.44140625" style="256" customWidth="1"/>
    <col min="11" max="12" width="21" style="256" customWidth="1"/>
    <col min="13" max="13" width="9.6640625" style="256" hidden="1" customWidth="1"/>
    <col min="14" max="14" width="11.6640625" style="256" hidden="1" customWidth="1"/>
    <col min="15" max="20" width="0" style="256" hidden="1" customWidth="1"/>
    <col min="21" max="16384" width="9.109375" style="256"/>
  </cols>
  <sheetData>
    <row r="1" spans="1:14" ht="21" x14ac:dyDescent="0.4">
      <c r="A1" s="1828" t="str">
        <f>Tartalomjegyzék_2021!A1</f>
        <v>Pilisvörösvár Város Önkormányzata Képviselő-testületének 1/2021. (II. 15.) önkormányzati rendelete</v>
      </c>
      <c r="B1" s="1828"/>
      <c r="C1" s="1828"/>
      <c r="D1" s="1828"/>
      <c r="E1" s="1828"/>
      <c r="F1" s="1828"/>
      <c r="G1" s="1829"/>
      <c r="H1" s="1829"/>
      <c r="I1" s="1830"/>
      <c r="J1" s="1830"/>
      <c r="K1" s="1830"/>
      <c r="L1" s="1831"/>
      <c r="M1" s="1362" t="s">
        <v>758</v>
      </c>
    </row>
    <row r="2" spans="1:14" ht="21" customHeight="1" x14ac:dyDescent="0.4">
      <c r="A2" s="1828" t="str">
        <f>Tartalomjegyzék_2021!A2</f>
        <v>az Önkormányzat  2021. évi költségvetéséről</v>
      </c>
      <c r="B2" s="1828"/>
      <c r="C2" s="1828"/>
      <c r="D2" s="1828"/>
      <c r="E2" s="1828"/>
      <c r="F2" s="1828"/>
      <c r="G2" s="1829"/>
      <c r="H2" s="1829"/>
      <c r="I2" s="1830"/>
      <c r="J2" s="1830"/>
      <c r="K2" s="1830"/>
      <c r="L2" s="1831"/>
    </row>
    <row r="3" spans="1:14" ht="21" customHeight="1" x14ac:dyDescent="0.4">
      <c r="A3" s="1828" t="str">
        <f>Tartalomjegyzék_2021!B8</f>
        <v xml:space="preserve">Pilisvörösvár Város Önkormányzata működési és felhalmozási célú bevételek részletes bemutatása </v>
      </c>
      <c r="B3" s="1828"/>
      <c r="C3" s="1828"/>
      <c r="D3" s="1828"/>
      <c r="E3" s="1828"/>
      <c r="F3" s="1828"/>
      <c r="G3" s="1829"/>
      <c r="H3" s="1829"/>
      <c r="I3" s="1830"/>
      <c r="J3" s="1830"/>
      <c r="K3" s="1830"/>
      <c r="L3" s="1831"/>
    </row>
    <row r="4" spans="1:14" ht="20.100000000000001" customHeight="1" x14ac:dyDescent="0.35">
      <c r="A4" s="508"/>
      <c r="B4" s="508"/>
      <c r="C4" s="508"/>
      <c r="D4" s="531"/>
      <c r="E4" s="508"/>
      <c r="F4" s="531"/>
      <c r="G4" s="509"/>
      <c r="H4" s="509"/>
      <c r="I4" s="507"/>
      <c r="J4" s="755"/>
      <c r="L4" s="720" t="s">
        <v>10</v>
      </c>
    </row>
    <row r="5" spans="1:14" x14ac:dyDescent="0.35">
      <c r="A5" s="252"/>
      <c r="B5" s="252"/>
      <c r="C5" s="504"/>
      <c r="D5" s="531"/>
      <c r="E5" s="504"/>
      <c r="F5" s="531"/>
      <c r="G5" s="504"/>
      <c r="H5" s="531"/>
      <c r="L5" s="271"/>
    </row>
    <row r="6" spans="1:14" ht="20.100000000000001" customHeight="1" thickBot="1" x14ac:dyDescent="0.45">
      <c r="L6" s="693" t="s">
        <v>201</v>
      </c>
    </row>
    <row r="7" spans="1:14" s="90" customFormat="1" ht="100.5" customHeight="1" thickBot="1" x14ac:dyDescent="0.35">
      <c r="A7" s="889" t="s">
        <v>242</v>
      </c>
      <c r="B7" s="890" t="s">
        <v>237</v>
      </c>
      <c r="C7" s="1559" t="s">
        <v>720</v>
      </c>
      <c r="D7" s="1560" t="s">
        <v>812</v>
      </c>
      <c r="E7" s="891" t="s">
        <v>721</v>
      </c>
      <c r="F7" s="892" t="s">
        <v>813</v>
      </c>
      <c r="G7" s="893" t="s">
        <v>825</v>
      </c>
      <c r="H7" s="894" t="s">
        <v>826</v>
      </c>
      <c r="I7" s="891" t="s">
        <v>723</v>
      </c>
      <c r="J7" s="892" t="s">
        <v>815</v>
      </c>
      <c r="K7" s="893" t="s">
        <v>724</v>
      </c>
      <c r="L7" s="892" t="s">
        <v>816</v>
      </c>
      <c r="M7" s="269"/>
      <c r="N7" s="269"/>
    </row>
    <row r="8" spans="1:14" ht="18.75" customHeight="1" x14ac:dyDescent="0.35">
      <c r="A8" s="884" t="s">
        <v>253</v>
      </c>
      <c r="B8" s="885" t="s">
        <v>252</v>
      </c>
      <c r="C8" s="1561">
        <f>'12.-Támogatási bevételek (B (2)'!D13</f>
        <v>721131</v>
      </c>
      <c r="D8" s="1562">
        <f>'12.-Támogatási bevételek (B (2)'!E13</f>
        <v>989084</v>
      </c>
      <c r="E8" s="1424">
        <f>'12.-Támogatási bevételek (B (2)'!G13</f>
        <v>0</v>
      </c>
      <c r="F8" s="1021">
        <f>'12.-Támogatási bevételek (B (2)'!H13</f>
        <v>0</v>
      </c>
      <c r="G8" s="1425">
        <v>0</v>
      </c>
      <c r="H8" s="887">
        <v>0</v>
      </c>
      <c r="I8" s="616">
        <f>C8+E8+G8</f>
        <v>721131</v>
      </c>
      <c r="J8" s="888">
        <f>D8+F8+H8</f>
        <v>989084</v>
      </c>
      <c r="K8" s="886">
        <f>C8+E8+G8</f>
        <v>721131</v>
      </c>
      <c r="L8" s="888">
        <f>D8+F8+H8</f>
        <v>989084</v>
      </c>
      <c r="M8" s="258"/>
    </row>
    <row r="9" spans="1:14" ht="18.75" customHeight="1" x14ac:dyDescent="0.35">
      <c r="A9" s="259" t="s">
        <v>255</v>
      </c>
      <c r="B9" s="865" t="s">
        <v>254</v>
      </c>
      <c r="C9" s="1022">
        <f>'12.-Támogatási bevételek (B (2)'!D17</f>
        <v>3577.7246875000001</v>
      </c>
      <c r="D9" s="1550">
        <f>'12.-Támogatási bevételek (B (2)'!E17</f>
        <v>150000</v>
      </c>
      <c r="E9" s="1022">
        <f>'12.-Támogatási bevételek (B (2)'!G17</f>
        <v>0</v>
      </c>
      <c r="F9" s="1023">
        <f>'12.-Támogatási bevételek (B (2)'!H17</f>
        <v>0</v>
      </c>
      <c r="G9" s="1177">
        <f>'3. Gesz költségvetés'!O10</f>
        <v>342700</v>
      </c>
      <c r="H9" s="877">
        <f>'3. Gesz költségvetés'!P10</f>
        <v>377682</v>
      </c>
      <c r="I9" s="616">
        <f>C9+E9+G9</f>
        <v>346277.72468749998</v>
      </c>
      <c r="J9" s="617">
        <f>D9+F9+H9</f>
        <v>527682</v>
      </c>
      <c r="K9" s="870">
        <f>C9+E9+G9</f>
        <v>346277.72468749998</v>
      </c>
      <c r="L9" s="617">
        <f>D9+F9+H9</f>
        <v>527682</v>
      </c>
      <c r="M9" s="258"/>
    </row>
    <row r="10" spans="1:14" ht="18.75" customHeight="1" x14ac:dyDescent="0.35">
      <c r="A10" s="260" t="s">
        <v>257</v>
      </c>
      <c r="B10" s="866" t="s">
        <v>256</v>
      </c>
      <c r="C10" s="618">
        <f t="shared" ref="C10:L10" si="0">SUM(C8:C9)</f>
        <v>724708.72468750004</v>
      </c>
      <c r="D10" s="1551">
        <f t="shared" si="0"/>
        <v>1139084</v>
      </c>
      <c r="E10" s="618">
        <f t="shared" si="0"/>
        <v>0</v>
      </c>
      <c r="F10" s="619">
        <f t="shared" si="0"/>
        <v>0</v>
      </c>
      <c r="G10" s="871">
        <f t="shared" si="0"/>
        <v>342700</v>
      </c>
      <c r="H10" s="878">
        <f t="shared" si="0"/>
        <v>377682</v>
      </c>
      <c r="I10" s="618">
        <f t="shared" si="0"/>
        <v>1067408.7246874999</v>
      </c>
      <c r="J10" s="619">
        <f t="shared" si="0"/>
        <v>1516766</v>
      </c>
      <c r="K10" s="871">
        <f t="shared" si="0"/>
        <v>1067408.7246874999</v>
      </c>
      <c r="L10" s="619">
        <f t="shared" si="0"/>
        <v>1516766</v>
      </c>
      <c r="M10" s="258"/>
    </row>
    <row r="11" spans="1:14" ht="18.75" customHeight="1" x14ac:dyDescent="0.35">
      <c r="A11" s="259" t="s">
        <v>259</v>
      </c>
      <c r="B11" s="865" t="s">
        <v>258</v>
      </c>
      <c r="C11" s="1022">
        <f>'12.-Támogatási bevételek (B (2)'!D21</f>
        <v>0</v>
      </c>
      <c r="D11" s="1550">
        <f>'12.-Támogatási bevételek (B (2)'!E21</f>
        <v>0</v>
      </c>
      <c r="E11" s="1022">
        <f>'12.-Támogatási bevételek (B (2)'!G21</f>
        <v>0</v>
      </c>
      <c r="F11" s="1023">
        <f>'12.-Támogatási bevételek (B (2)'!H21</f>
        <v>0</v>
      </c>
      <c r="G11" s="870">
        <f>'12.-Támogatási bevételek (B (2)'!K21</f>
        <v>0</v>
      </c>
      <c r="H11" s="877">
        <f>'12.-Támogatási bevételek (B (2)'!L21</f>
        <v>0</v>
      </c>
      <c r="I11" s="616">
        <f>C11+E11+G11</f>
        <v>0</v>
      </c>
      <c r="J11" s="617">
        <f>D11+F11+H11</f>
        <v>0</v>
      </c>
      <c r="K11" s="870">
        <f>'12.-Támogatási bevételek (B (2)'!Q21</f>
        <v>0</v>
      </c>
      <c r="L11" s="617">
        <f>D11+F11+H11</f>
        <v>0</v>
      </c>
      <c r="M11" s="258"/>
    </row>
    <row r="12" spans="1:14" ht="18.75" customHeight="1" x14ac:dyDescent="0.35">
      <c r="A12" s="260" t="s">
        <v>261</v>
      </c>
      <c r="B12" s="866" t="s">
        <v>260</v>
      </c>
      <c r="C12" s="618">
        <f>SUM(C11)</f>
        <v>0</v>
      </c>
      <c r="D12" s="1551">
        <f>SUM(D11)</f>
        <v>0</v>
      </c>
      <c r="E12" s="618">
        <f t="shared" ref="E12:K12" si="1">SUM(E11)</f>
        <v>0</v>
      </c>
      <c r="F12" s="619">
        <f>SUM(F11)</f>
        <v>0</v>
      </c>
      <c r="G12" s="871">
        <f>SUM(G11)</f>
        <v>0</v>
      </c>
      <c r="H12" s="878">
        <f>SUM(H11)</f>
        <v>0</v>
      </c>
      <c r="I12" s="618">
        <f t="shared" si="1"/>
        <v>0</v>
      </c>
      <c r="J12" s="619">
        <f>SUM(J11)</f>
        <v>0</v>
      </c>
      <c r="K12" s="871">
        <f t="shared" si="1"/>
        <v>0</v>
      </c>
      <c r="L12" s="619">
        <f>SUM(L11)</f>
        <v>0</v>
      </c>
      <c r="M12" s="258"/>
    </row>
    <row r="13" spans="1:14" ht="18.75" customHeight="1" x14ac:dyDescent="0.35">
      <c r="A13" s="259" t="s">
        <v>113</v>
      </c>
      <c r="B13" s="865" t="s">
        <v>123</v>
      </c>
      <c r="C13" s="1022">
        <f>'15. Működési bev. (B3,B4)'!D9</f>
        <v>82000</v>
      </c>
      <c r="D13" s="1550">
        <f>'15. Működési bev. (B3,B4)'!E9</f>
        <v>82000</v>
      </c>
      <c r="E13" s="1022">
        <f>'15. Működési bev. (B3,B4)'!F9</f>
        <v>0</v>
      </c>
      <c r="F13" s="1023">
        <f>'15. Működési bev. (B3,B4)'!G9</f>
        <v>0</v>
      </c>
      <c r="G13" s="1177"/>
      <c r="H13" s="877"/>
      <c r="I13" s="616">
        <f t="shared" ref="I13:J15" si="2">C13+E13+G13</f>
        <v>82000</v>
      </c>
      <c r="J13" s="617">
        <f t="shared" si="2"/>
        <v>82000</v>
      </c>
      <c r="K13" s="870">
        <f t="shared" ref="K13:L15" si="3">C13+E13+G13</f>
        <v>82000</v>
      </c>
      <c r="L13" s="870">
        <f t="shared" si="3"/>
        <v>82000</v>
      </c>
      <c r="M13" s="258"/>
    </row>
    <row r="14" spans="1:14" ht="18.75" customHeight="1" x14ac:dyDescent="0.35">
      <c r="A14" s="261" t="s">
        <v>82</v>
      </c>
      <c r="B14" s="818" t="s">
        <v>122</v>
      </c>
      <c r="C14" s="1022">
        <f>'15. Működési bev. (B3,B4)'!D13</f>
        <v>674090</v>
      </c>
      <c r="D14" s="1550">
        <f>'15. Működési bev. (B3,B4)'!E13</f>
        <v>489135</v>
      </c>
      <c r="E14" s="1022">
        <v>0</v>
      </c>
      <c r="F14" s="1023">
        <f>'15. Működési bev. (B3,B4)'!G13</f>
        <v>0</v>
      </c>
      <c r="G14" s="1177"/>
      <c r="H14" s="877"/>
      <c r="I14" s="616">
        <f t="shared" si="2"/>
        <v>674090</v>
      </c>
      <c r="J14" s="617">
        <f t="shared" si="2"/>
        <v>489135</v>
      </c>
      <c r="K14" s="870">
        <f t="shared" si="3"/>
        <v>674090</v>
      </c>
      <c r="L14" s="617">
        <f t="shared" si="3"/>
        <v>489135</v>
      </c>
      <c r="M14" s="258"/>
    </row>
    <row r="15" spans="1:14" s="863" customFormat="1" ht="36" customHeight="1" x14ac:dyDescent="0.3">
      <c r="A15" s="261" t="s">
        <v>263</v>
      </c>
      <c r="B15" s="818" t="s">
        <v>24</v>
      </c>
      <c r="C15" s="1416">
        <f>'15. Működési bev. (B3,B4)'!D18</f>
        <v>2560</v>
      </c>
      <c r="D15" s="1553">
        <f>'15. Működési bev. (B3,B4)'!E18</f>
        <v>2500</v>
      </c>
      <c r="E15" s="1416">
        <f>'15. Működési bev. (B3,B4)'!F18</f>
        <v>0</v>
      </c>
      <c r="F15" s="1417">
        <f>'15. Működési bev. (B3,B4)'!G18</f>
        <v>0</v>
      </c>
      <c r="G15" s="1418"/>
      <c r="H15" s="879"/>
      <c r="I15" s="860">
        <f t="shared" si="2"/>
        <v>2560</v>
      </c>
      <c r="J15" s="861">
        <f t="shared" si="2"/>
        <v>2500</v>
      </c>
      <c r="K15" s="872">
        <f t="shared" si="3"/>
        <v>2560</v>
      </c>
      <c r="L15" s="861">
        <f t="shared" si="3"/>
        <v>2500</v>
      </c>
      <c r="M15" s="862"/>
    </row>
    <row r="16" spans="1:14" ht="18.75" customHeight="1" x14ac:dyDescent="0.35">
      <c r="A16" s="260" t="s">
        <v>265</v>
      </c>
      <c r="B16" s="866" t="s">
        <v>264</v>
      </c>
      <c r="C16" s="618">
        <f t="shared" ref="C16:L16" si="4">SUM(C13:C15)</f>
        <v>758650</v>
      </c>
      <c r="D16" s="1551">
        <f t="shared" si="4"/>
        <v>573635</v>
      </c>
      <c r="E16" s="618">
        <f t="shared" si="4"/>
        <v>0</v>
      </c>
      <c r="F16" s="619">
        <f t="shared" si="4"/>
        <v>0</v>
      </c>
      <c r="G16" s="871">
        <f t="shared" si="4"/>
        <v>0</v>
      </c>
      <c r="H16" s="878">
        <f t="shared" si="4"/>
        <v>0</v>
      </c>
      <c r="I16" s="618">
        <f t="shared" si="4"/>
        <v>758650</v>
      </c>
      <c r="J16" s="619">
        <f t="shared" si="4"/>
        <v>573635</v>
      </c>
      <c r="K16" s="871">
        <f t="shared" si="4"/>
        <v>758650</v>
      </c>
      <c r="L16" s="619">
        <f t="shared" si="4"/>
        <v>573635</v>
      </c>
      <c r="M16" s="258"/>
    </row>
    <row r="17" spans="1:13" s="1180" customFormat="1" ht="18.75" customHeight="1" x14ac:dyDescent="0.35">
      <c r="A17" s="261" t="s">
        <v>796</v>
      </c>
      <c r="B17" s="820" t="s">
        <v>266</v>
      </c>
      <c r="C17" s="1022">
        <f>'15. Működési bev. (B3,B4)'!D23</f>
        <v>3614.5095504599999</v>
      </c>
      <c r="D17" s="1550">
        <f>'15. Működési bev. (B3,B4)'!E23</f>
        <v>2851</v>
      </c>
      <c r="E17" s="1022">
        <f>'15. Működési bev. (B3,B4)'!F23</f>
        <v>1274</v>
      </c>
      <c r="F17" s="1023">
        <f>'15. Működési bev. (B3,B4)'!G23</f>
        <v>0</v>
      </c>
      <c r="G17" s="1177">
        <f>'3. Gesz költségvetés'!O13</f>
        <v>6962</v>
      </c>
      <c r="H17" s="1178">
        <f>'3. Gesz költségvetés'!P13</f>
        <v>2000</v>
      </c>
      <c r="I17" s="1022">
        <f t="shared" ref="I17:J23" si="5">C17+E17+G17</f>
        <v>11850.509550459999</v>
      </c>
      <c r="J17" s="1023">
        <f t="shared" si="5"/>
        <v>4851</v>
      </c>
      <c r="K17" s="1177">
        <f t="shared" ref="K17:L23" si="6">C17+E17+G17</f>
        <v>11850.509550459999</v>
      </c>
      <c r="L17" s="1023">
        <f t="shared" si="6"/>
        <v>4851</v>
      </c>
      <c r="M17" s="1179"/>
    </row>
    <row r="18" spans="1:13" s="1180" customFormat="1" ht="18.75" customHeight="1" x14ac:dyDescent="0.35">
      <c r="A18" s="261" t="s">
        <v>794</v>
      </c>
      <c r="B18" s="820" t="s">
        <v>268</v>
      </c>
      <c r="C18" s="1022">
        <f>'15. Működési bev. (B3,B4)'!D33</f>
        <v>61296.392449999999</v>
      </c>
      <c r="D18" s="1550">
        <f>'15. Működési bev. (B3,B4)'!E33</f>
        <v>52646</v>
      </c>
      <c r="E18" s="1022">
        <f>'15. Működési bev. (B3,B4)'!F33</f>
        <v>144781.82652127999</v>
      </c>
      <c r="F18" s="1023">
        <f>'15. Működési bev. (B3,B4)'!G33</f>
        <v>131865</v>
      </c>
      <c r="G18" s="1177">
        <f>'3. Gesz költségvetés'!O20</f>
        <v>22710</v>
      </c>
      <c r="H18" s="1178">
        <f>'3. Gesz költségvetés'!P20</f>
        <v>17853</v>
      </c>
      <c r="I18" s="1022">
        <f t="shared" si="5"/>
        <v>228788.21897127997</v>
      </c>
      <c r="J18" s="1023">
        <f t="shared" si="5"/>
        <v>202364</v>
      </c>
      <c r="K18" s="1177">
        <f t="shared" si="6"/>
        <v>228788.21897127997</v>
      </c>
      <c r="L18" s="1023">
        <f t="shared" si="6"/>
        <v>202364</v>
      </c>
      <c r="M18" s="1179"/>
    </row>
    <row r="19" spans="1:13" s="1180" customFormat="1" ht="18.75" customHeight="1" x14ac:dyDescent="0.35">
      <c r="A19" s="261" t="s">
        <v>797</v>
      </c>
      <c r="B19" s="820" t="s">
        <v>270</v>
      </c>
      <c r="C19" s="1022">
        <f>'15. Működési bev. (B3,B4)'!D34</f>
        <v>11191.2878</v>
      </c>
      <c r="D19" s="1550">
        <f>'15. Működési bev. (B3,B4)'!E34</f>
        <v>10701</v>
      </c>
      <c r="E19" s="1022">
        <f>'15. Működési bev. (B3,B4)'!F34</f>
        <v>1543.0045400000001</v>
      </c>
      <c r="F19" s="1023">
        <f>'15. Működési bev. (B3,B4)'!G34</f>
        <v>1946</v>
      </c>
      <c r="G19" s="1177">
        <f>'3. Gesz költségvetés'!O21</f>
        <v>3500</v>
      </c>
      <c r="H19" s="1178">
        <f>'3. Gesz költségvetés'!P21</f>
        <v>4500</v>
      </c>
      <c r="I19" s="1022">
        <f t="shared" si="5"/>
        <v>16234.29234</v>
      </c>
      <c r="J19" s="1023">
        <f t="shared" si="5"/>
        <v>17147</v>
      </c>
      <c r="K19" s="1177">
        <f t="shared" si="6"/>
        <v>16234.29234</v>
      </c>
      <c r="L19" s="1023">
        <f t="shared" si="6"/>
        <v>17147</v>
      </c>
      <c r="M19" s="1179"/>
    </row>
    <row r="20" spans="1:13" s="1180" customFormat="1" ht="18.75" customHeight="1" x14ac:dyDescent="0.35">
      <c r="A20" s="261" t="s">
        <v>795</v>
      </c>
      <c r="B20" s="820" t="s">
        <v>271</v>
      </c>
      <c r="C20" s="1022">
        <f>'15. Működési bev. (B3,B4)'!D38</f>
        <v>81610</v>
      </c>
      <c r="D20" s="1550">
        <f>'15. Működési bev. (B3,B4)'!E38</f>
        <v>6509</v>
      </c>
      <c r="E20" s="1022">
        <f>'15. Működési bev. (B3,B4)'!F38</f>
        <v>0</v>
      </c>
      <c r="F20" s="1023">
        <f>'15. Működési bev. (B3,B4)'!G38</f>
        <v>0</v>
      </c>
      <c r="G20" s="1177"/>
      <c r="H20" s="1178"/>
      <c r="I20" s="1022">
        <f t="shared" si="5"/>
        <v>81610</v>
      </c>
      <c r="J20" s="1023">
        <f t="shared" si="5"/>
        <v>6509</v>
      </c>
      <c r="K20" s="1177">
        <f t="shared" si="6"/>
        <v>81610</v>
      </c>
      <c r="L20" s="1023">
        <f t="shared" si="6"/>
        <v>6509</v>
      </c>
      <c r="M20" s="1179"/>
    </row>
    <row r="21" spans="1:13" s="1180" customFormat="1" ht="18.75" customHeight="1" x14ac:dyDescent="0.35">
      <c r="A21" s="261" t="s">
        <v>798</v>
      </c>
      <c r="B21" s="820" t="s">
        <v>273</v>
      </c>
      <c r="C21" s="1022">
        <f>'15. Működési bev. (B3,B4)'!D41</f>
        <v>0</v>
      </c>
      <c r="D21" s="1550">
        <f>'15. Működési bev. (B3,B4)'!E41</f>
        <v>0</v>
      </c>
      <c r="E21" s="1022">
        <f>'15. Működési bev. (B3,B4)'!F41</f>
        <v>20926.645399999998</v>
      </c>
      <c r="F21" s="1023">
        <f>'15. Működési bev. (B3,B4)'!G41</f>
        <v>26500</v>
      </c>
      <c r="G21" s="1177">
        <f>'3. Gesz költségvetés'!O22</f>
        <v>5600</v>
      </c>
      <c r="H21" s="1178">
        <f>'3. Gesz költségvetés'!P22</f>
        <v>3787</v>
      </c>
      <c r="I21" s="1022">
        <f t="shared" si="5"/>
        <v>26526.645399999998</v>
      </c>
      <c r="J21" s="1023">
        <f t="shared" si="5"/>
        <v>30287</v>
      </c>
      <c r="K21" s="1177">
        <f t="shared" si="6"/>
        <v>26526.645399999998</v>
      </c>
      <c r="L21" s="1023">
        <f t="shared" si="6"/>
        <v>30287</v>
      </c>
      <c r="M21" s="1179"/>
    </row>
    <row r="22" spans="1:13" s="1180" customFormat="1" ht="18.75" customHeight="1" x14ac:dyDescent="0.35">
      <c r="A22" s="261" t="s">
        <v>277</v>
      </c>
      <c r="B22" s="820" t="s">
        <v>276</v>
      </c>
      <c r="C22" s="1022">
        <f>'15. Működési bev. (B3,B4)'!D46</f>
        <v>40</v>
      </c>
      <c r="D22" s="1550">
        <f>'15. Működési bev. (B3,B4)'!E46</f>
        <v>0</v>
      </c>
      <c r="E22" s="1022">
        <f>'15. Működési bev. (B3,B4)'!F46</f>
        <v>0</v>
      </c>
      <c r="F22" s="1023">
        <f>'15. Működési bev. (B3,B4)'!G46</f>
        <v>0</v>
      </c>
      <c r="G22" s="1177">
        <f>'3. Gesz költségvetés'!O23</f>
        <v>0</v>
      </c>
      <c r="H22" s="1178">
        <f>'3. Gesz költségvetés'!P23</f>
        <v>0</v>
      </c>
      <c r="I22" s="1022">
        <f t="shared" si="5"/>
        <v>40</v>
      </c>
      <c r="J22" s="1023">
        <f t="shared" si="5"/>
        <v>0</v>
      </c>
      <c r="K22" s="1177">
        <f t="shared" si="6"/>
        <v>40</v>
      </c>
      <c r="L22" s="1023">
        <f t="shared" si="6"/>
        <v>0</v>
      </c>
      <c r="M22" s="1179"/>
    </row>
    <row r="23" spans="1:13" s="1180" customFormat="1" ht="18.75" customHeight="1" x14ac:dyDescent="0.35">
      <c r="A23" s="261" t="s">
        <v>799</v>
      </c>
      <c r="B23" s="820" t="s">
        <v>1</v>
      </c>
      <c r="C23" s="1022">
        <f>'15. Működési bev. (B3,B4)'!D47</f>
        <v>0</v>
      </c>
      <c r="D23" s="1550">
        <f>'15. Működési bev. (B3,B4)'!E47</f>
        <v>0</v>
      </c>
      <c r="E23" s="1022">
        <f>'15. Működési bev. (B3,B4)'!F47</f>
        <v>881.25</v>
      </c>
      <c r="F23" s="1023">
        <f>'15. Működési bev. (B3,B4)'!G47</f>
        <v>400</v>
      </c>
      <c r="G23" s="1177"/>
      <c r="H23" s="1178"/>
      <c r="I23" s="1022">
        <f t="shared" si="5"/>
        <v>881.25</v>
      </c>
      <c r="J23" s="1023">
        <f t="shared" si="5"/>
        <v>400</v>
      </c>
      <c r="K23" s="1177">
        <f t="shared" si="6"/>
        <v>881.25</v>
      </c>
      <c r="L23" s="1023">
        <f t="shared" si="6"/>
        <v>400</v>
      </c>
      <c r="M23" s="1179"/>
    </row>
    <row r="24" spans="1:13" ht="18.75" customHeight="1" x14ac:dyDescent="0.35">
      <c r="A24" s="260" t="s">
        <v>279</v>
      </c>
      <c r="B24" s="866" t="s">
        <v>1</v>
      </c>
      <c r="C24" s="618">
        <f>SUM(C17:C23)</f>
        <v>157752.18980046001</v>
      </c>
      <c r="D24" s="1551">
        <f>SUM(D17:D23)</f>
        <v>72707</v>
      </c>
      <c r="E24" s="618">
        <f>SUM(E17:E23)</f>
        <v>169406.72646127999</v>
      </c>
      <c r="F24" s="619">
        <f>SUM(F17:F23)</f>
        <v>160711</v>
      </c>
      <c r="G24" s="871">
        <f>SUM(G17:G22)</f>
        <v>38772</v>
      </c>
      <c r="H24" s="878">
        <f>SUM(H17:H22)</f>
        <v>28140</v>
      </c>
      <c r="I24" s="618">
        <f>SUM(I17:I23)</f>
        <v>365930.91626173997</v>
      </c>
      <c r="J24" s="619">
        <f>SUM(J17:J23)</f>
        <v>261558</v>
      </c>
      <c r="K24" s="871">
        <f>SUM(K17:K23)</f>
        <v>365930.91626173997</v>
      </c>
      <c r="L24" s="619">
        <f>SUM(L17:L23)</f>
        <v>261558</v>
      </c>
      <c r="M24" s="258"/>
    </row>
    <row r="25" spans="1:13" s="1180" customFormat="1" ht="18.75" customHeight="1" x14ac:dyDescent="0.35">
      <c r="A25" s="261" t="s">
        <v>281</v>
      </c>
      <c r="B25" s="820" t="s">
        <v>280</v>
      </c>
      <c r="C25" s="1022">
        <f>(3950856+35000+3465000)/1000+5750</f>
        <v>13200.856</v>
      </c>
      <c r="D25" s="1550">
        <f>27243+3851+27305</f>
        <v>58399</v>
      </c>
      <c r="E25" s="1022"/>
      <c r="F25" s="1023"/>
      <c r="G25" s="1177"/>
      <c r="H25" s="1178"/>
      <c r="I25" s="1022">
        <f>C25+E25+G25</f>
        <v>13200.856</v>
      </c>
      <c r="J25" s="1023">
        <f>D25+F25+H25</f>
        <v>58399</v>
      </c>
      <c r="K25" s="1177">
        <f>C25+E25+G25</f>
        <v>13200.856</v>
      </c>
      <c r="L25" s="1023">
        <f>D25+F25+H25</f>
        <v>58399</v>
      </c>
      <c r="M25" s="1179"/>
    </row>
    <row r="26" spans="1:13" s="1180" customFormat="1" ht="18.75" customHeight="1" x14ac:dyDescent="0.35">
      <c r="A26" s="261" t="s">
        <v>283</v>
      </c>
      <c r="B26" s="820" t="s">
        <v>282</v>
      </c>
      <c r="C26" s="1022">
        <v>0</v>
      </c>
      <c r="D26" s="1550">
        <v>0</v>
      </c>
      <c r="E26" s="1022"/>
      <c r="F26" s="1023"/>
      <c r="G26" s="1177"/>
      <c r="H26" s="1178"/>
      <c r="I26" s="1022">
        <f>C26+E26+G26</f>
        <v>0</v>
      </c>
      <c r="J26" s="1023">
        <f>D26+F26+H26</f>
        <v>0</v>
      </c>
      <c r="K26" s="1177">
        <f>C26+E26+G26</f>
        <v>0</v>
      </c>
      <c r="L26" s="1023">
        <f>D26+F26+H26</f>
        <v>0</v>
      </c>
      <c r="M26" s="1179"/>
    </row>
    <row r="27" spans="1:13" ht="18.75" customHeight="1" x14ac:dyDescent="0.35">
      <c r="A27" s="260" t="s">
        <v>285</v>
      </c>
      <c r="B27" s="866" t="s">
        <v>284</v>
      </c>
      <c r="C27" s="618">
        <f t="shared" ref="C27:L27" si="7">SUM(C25:C26)</f>
        <v>13200.856</v>
      </c>
      <c r="D27" s="1551">
        <f t="shared" si="7"/>
        <v>58399</v>
      </c>
      <c r="E27" s="618">
        <f t="shared" si="7"/>
        <v>0</v>
      </c>
      <c r="F27" s="619">
        <f t="shared" si="7"/>
        <v>0</v>
      </c>
      <c r="G27" s="871">
        <f t="shared" si="7"/>
        <v>0</v>
      </c>
      <c r="H27" s="878">
        <f t="shared" si="7"/>
        <v>0</v>
      </c>
      <c r="I27" s="618">
        <f t="shared" si="7"/>
        <v>13200.856</v>
      </c>
      <c r="J27" s="619">
        <f t="shared" si="7"/>
        <v>58399</v>
      </c>
      <c r="K27" s="871">
        <f t="shared" si="7"/>
        <v>13200.856</v>
      </c>
      <c r="L27" s="619">
        <f t="shared" si="7"/>
        <v>58399</v>
      </c>
      <c r="M27" s="258"/>
    </row>
    <row r="28" spans="1:13" ht="18.75" customHeight="1" x14ac:dyDescent="0.35">
      <c r="A28" s="261" t="s">
        <v>287</v>
      </c>
      <c r="B28" s="820" t="s">
        <v>286</v>
      </c>
      <c r="C28" s="616">
        <f>'16. Átvett pénze.(B6,B7)'!C9</f>
        <v>0</v>
      </c>
      <c r="D28" s="1552">
        <f>'16. Átvett pénze.(B6,B7)'!D9</f>
        <v>0</v>
      </c>
      <c r="E28" s="1022"/>
      <c r="F28" s="1023"/>
      <c r="G28" s="1177"/>
      <c r="H28" s="1178">
        <f>'3. Gesz költségvetés'!P25</f>
        <v>0</v>
      </c>
      <c r="I28" s="616">
        <f>C28+E28+G28</f>
        <v>0</v>
      </c>
      <c r="J28" s="617">
        <f>D28+F28+H28</f>
        <v>0</v>
      </c>
      <c r="K28" s="870">
        <f>C28+E28+G28</f>
        <v>0</v>
      </c>
      <c r="L28" s="617">
        <f>D28+F28+H28</f>
        <v>0</v>
      </c>
      <c r="M28" s="258"/>
    </row>
    <row r="29" spans="1:13" ht="18.75" customHeight="1" x14ac:dyDescent="0.35">
      <c r="A29" s="260" t="s">
        <v>289</v>
      </c>
      <c r="B29" s="866" t="s">
        <v>288</v>
      </c>
      <c r="C29" s="618">
        <f t="shared" ref="C29:F29" si="8">SUM(C28)</f>
        <v>0</v>
      </c>
      <c r="D29" s="1551">
        <f t="shared" si="8"/>
        <v>0</v>
      </c>
      <c r="E29" s="618">
        <f t="shared" si="8"/>
        <v>0</v>
      </c>
      <c r="F29" s="619">
        <f t="shared" si="8"/>
        <v>0</v>
      </c>
      <c r="G29" s="871">
        <f>'3. Gesz költségvetés'!O25</f>
        <v>0</v>
      </c>
      <c r="H29" s="878">
        <f>'3. Gesz költségvetés'!P25</f>
        <v>0</v>
      </c>
      <c r="I29" s="618">
        <f>SUM(I28)</f>
        <v>0</v>
      </c>
      <c r="J29" s="619">
        <f>SUM(J28)</f>
        <v>0</v>
      </c>
      <c r="K29" s="871">
        <f>SUM(K28)</f>
        <v>0</v>
      </c>
      <c r="L29" s="619">
        <f>SUM(L28)</f>
        <v>0</v>
      </c>
      <c r="M29" s="258"/>
    </row>
    <row r="30" spans="1:13" s="863" customFormat="1" ht="39.75" customHeight="1" x14ac:dyDescent="0.3">
      <c r="A30" s="261" t="s">
        <v>622</v>
      </c>
      <c r="B30" s="818" t="s">
        <v>290</v>
      </c>
      <c r="C30" s="1416">
        <f>'16. Átvett pénze.(B6,B7)'!C25</f>
        <v>112</v>
      </c>
      <c r="D30" s="1553">
        <f>'16. Átvett pénze.(B6,B7)'!D25</f>
        <v>0</v>
      </c>
      <c r="E30" s="1416"/>
      <c r="F30" s="1417"/>
      <c r="G30" s="1418"/>
      <c r="H30" s="1419"/>
      <c r="I30" s="860">
        <f>C30+E30+G30</f>
        <v>112</v>
      </c>
      <c r="J30" s="861">
        <f>D30+F30+H30</f>
        <v>0</v>
      </c>
      <c r="K30" s="872">
        <f>C30+E30+G30</f>
        <v>112</v>
      </c>
      <c r="L30" s="861">
        <f>D30+F30+H30</f>
        <v>0</v>
      </c>
      <c r="M30" s="862"/>
    </row>
    <row r="31" spans="1:13" ht="18.75" customHeight="1" x14ac:dyDescent="0.35">
      <c r="A31" s="261" t="s">
        <v>566</v>
      </c>
      <c r="B31" s="820" t="s">
        <v>292</v>
      </c>
      <c r="C31" s="1022">
        <f>'16. Átvett pénze.(B6,B7)'!C28</f>
        <v>0</v>
      </c>
      <c r="D31" s="1550">
        <f>'16. Átvett pénze.(B6,B7)'!D28</f>
        <v>0</v>
      </c>
      <c r="E31" s="1022"/>
      <c r="F31" s="1023"/>
      <c r="G31" s="1177"/>
      <c r="H31" s="1178"/>
      <c r="I31" s="616">
        <f>C31+E31+G31</f>
        <v>0</v>
      </c>
      <c r="J31" s="617">
        <f>D31+F31+H31</f>
        <v>0</v>
      </c>
      <c r="K31" s="870">
        <f>C31+E31+G31</f>
        <v>0</v>
      </c>
      <c r="L31" s="617">
        <f>D31+F31+H31</f>
        <v>0</v>
      </c>
      <c r="M31" s="258"/>
    </row>
    <row r="32" spans="1:13" ht="18.75" customHeight="1" x14ac:dyDescent="0.35">
      <c r="A32" s="260" t="s">
        <v>295</v>
      </c>
      <c r="B32" s="866" t="s">
        <v>294</v>
      </c>
      <c r="C32" s="618">
        <f t="shared" ref="C32:L32" si="9">SUM(C30:C31)</f>
        <v>112</v>
      </c>
      <c r="D32" s="1551">
        <f t="shared" si="9"/>
        <v>0</v>
      </c>
      <c r="E32" s="618">
        <f t="shared" si="9"/>
        <v>0</v>
      </c>
      <c r="F32" s="619">
        <f t="shared" si="9"/>
        <v>0</v>
      </c>
      <c r="G32" s="871">
        <f t="shared" si="9"/>
        <v>0</v>
      </c>
      <c r="H32" s="878">
        <f t="shared" si="9"/>
        <v>0</v>
      </c>
      <c r="I32" s="618">
        <f t="shared" si="9"/>
        <v>112</v>
      </c>
      <c r="J32" s="619">
        <f t="shared" si="9"/>
        <v>0</v>
      </c>
      <c r="K32" s="871">
        <f t="shared" si="9"/>
        <v>112</v>
      </c>
      <c r="L32" s="619">
        <f t="shared" si="9"/>
        <v>0</v>
      </c>
      <c r="M32" s="258"/>
    </row>
    <row r="33" spans="1:14" ht="18.75" customHeight="1" x14ac:dyDescent="0.35">
      <c r="A33" s="263" t="s">
        <v>297</v>
      </c>
      <c r="B33" s="822" t="s">
        <v>296</v>
      </c>
      <c r="C33" s="620">
        <f>C32+C29+C27+C24+C16+C12+C10+1</f>
        <v>1654424.77048796</v>
      </c>
      <c r="D33" s="1554">
        <f>D32+D29+D27+D24+D16+D12+D10+0.4</f>
        <v>1843825.4</v>
      </c>
      <c r="E33" s="620">
        <f>E32+E29+E27+E24+E16+E12+E10</f>
        <v>169406.72646127999</v>
      </c>
      <c r="F33" s="621">
        <f>F32+F29+F27+F24+F16+F12+F10</f>
        <v>160711</v>
      </c>
      <c r="G33" s="873">
        <f>G32+G29+G27+G24+G16+G12+G10</f>
        <v>381472</v>
      </c>
      <c r="H33" s="880">
        <f>H32+H29+H27+H24+H16+H12+H10</f>
        <v>405822</v>
      </c>
      <c r="I33" s="620">
        <f>I10+I12+I16+I24+I27+I29+I32+1</f>
        <v>2205303.4969492401</v>
      </c>
      <c r="J33" s="621">
        <f>J10+J12+J16+J24+J27+J29+J32+1</f>
        <v>2410359</v>
      </c>
      <c r="K33" s="873">
        <f>K10+K12+K16+K24+K27+K29+K32+1</f>
        <v>2205303.4969492401</v>
      </c>
      <c r="L33" s="621">
        <f>L10+L12+L16+L24+L27+L29+L32+1</f>
        <v>2410359</v>
      </c>
      <c r="M33" s="258"/>
      <c r="N33" s="258"/>
    </row>
    <row r="34" spans="1:14" ht="18.75" customHeight="1" x14ac:dyDescent="0.35">
      <c r="A34" s="265"/>
      <c r="B34" s="867" t="s">
        <v>298</v>
      </c>
      <c r="C34" s="622">
        <f>C10+C16+C24+C29-'2.Kiadások_részletes '!C20</f>
        <v>947839.29175795976</v>
      </c>
      <c r="D34" s="1555">
        <f>D10+D16+D24+D29-'2.Kiadások_részletes '!D20</f>
        <v>1075128.1400000001</v>
      </c>
      <c r="E34" s="622">
        <f>E10+E16+E24+E29-'2.Kiadások_részletes '!E20</f>
        <v>-489610.91463871999</v>
      </c>
      <c r="F34" s="623">
        <f>F10+F16+F24+F29-'2.Kiadások_részletes '!F20</f>
        <v>-435300</v>
      </c>
      <c r="G34" s="874">
        <f>G10+G16+G24+G29-'2.Kiadások_részletes '!G20</f>
        <v>-595977</v>
      </c>
      <c r="H34" s="623">
        <f>H10+H16+H24+H29-'2.Kiadások_részletes '!H20</f>
        <v>-671423</v>
      </c>
      <c r="I34" s="622">
        <f>I10+I16+I24+I29-'2.Kiadások_részletes '!I20</f>
        <v>-137748.62288076011</v>
      </c>
      <c r="J34" s="623">
        <f>J10+J16+J24+J29-'2.Kiadások_részletes '!J20</f>
        <v>-31594.85999999987</v>
      </c>
      <c r="K34" s="622">
        <f>K10+K16+K24+K29-'2.Kiadások_részletes '!K20</f>
        <v>-137748.62288076011</v>
      </c>
      <c r="L34" s="623">
        <f>L10+L16+L24+L29-'2.Kiadások_részletes '!L20</f>
        <v>-31594.85999999987</v>
      </c>
      <c r="M34" s="258"/>
      <c r="N34" s="258"/>
    </row>
    <row r="35" spans="1:14" ht="18.75" customHeight="1" x14ac:dyDescent="0.35">
      <c r="A35" s="265"/>
      <c r="B35" s="867" t="s">
        <v>299</v>
      </c>
      <c r="C35" s="622">
        <f>C12+C27+C32-'2.Kiadások_részletes '!C26</f>
        <v>-283410.15800000005</v>
      </c>
      <c r="D35" s="1555">
        <f>D12+D27+D32-'2.Kiadások_részletes '!D26</f>
        <v>41014</v>
      </c>
      <c r="E35" s="622">
        <f>E12+E27+E32-'2.Kiadások_részletes '!E26</f>
        <v>-9010</v>
      </c>
      <c r="F35" s="623">
        <f>F12+F27+F32-'2.Kiadások_részletes '!F26</f>
        <v>-5305</v>
      </c>
      <c r="G35" s="874">
        <f>G12+G27+G32-'2.Kiadások_részletes '!G26</f>
        <v>-2795</v>
      </c>
      <c r="H35" s="881">
        <f>H12+H27+H32-'2.Kiadások_részletes '!H26</f>
        <v>-2795</v>
      </c>
      <c r="I35" s="622">
        <f>I12+I27+I32-'2.Kiadások_részletes '!I26</f>
        <v>-295215.15800000005</v>
      </c>
      <c r="J35" s="623">
        <f>J12+J27+J32-'2.Kiadások_részletes '!J26+1</f>
        <v>32915</v>
      </c>
      <c r="K35" s="874">
        <f>K12+K27+K32-'2.Kiadások_részletes '!K26</f>
        <v>-295215.15800000005</v>
      </c>
      <c r="L35" s="623">
        <f>L12+L27+L32-'2.Kiadások_részletes '!L26+1</f>
        <v>32915</v>
      </c>
      <c r="M35" s="258"/>
      <c r="N35" s="258"/>
    </row>
    <row r="36" spans="1:14" ht="18.75" customHeight="1" x14ac:dyDescent="0.35">
      <c r="A36" s="266" t="s">
        <v>115</v>
      </c>
      <c r="B36" s="868" t="s">
        <v>114</v>
      </c>
      <c r="C36" s="1022">
        <v>0</v>
      </c>
      <c r="D36" s="1550">
        <v>0</v>
      </c>
      <c r="E36" s="1022"/>
      <c r="F36" s="1023"/>
      <c r="G36" s="1177"/>
      <c r="H36" s="1178"/>
      <c r="I36" s="1022">
        <f t="shared" ref="I36:J43" si="10">C36+E36+G36</f>
        <v>0</v>
      </c>
      <c r="J36" s="1023">
        <f t="shared" si="10"/>
        <v>0</v>
      </c>
      <c r="K36" s="1177">
        <f t="shared" ref="K36:L42" si="11">C36+E36+G36</f>
        <v>0</v>
      </c>
      <c r="L36" s="617">
        <f t="shared" si="11"/>
        <v>0</v>
      </c>
      <c r="M36" s="258"/>
      <c r="N36" s="258"/>
    </row>
    <row r="37" spans="1:14" ht="18.75" customHeight="1" x14ac:dyDescent="0.35">
      <c r="A37" s="266" t="s">
        <v>301</v>
      </c>
      <c r="B37" s="820" t="s">
        <v>300</v>
      </c>
      <c r="C37" s="1022">
        <f>'17. finanszírozás be_ki (B8,K9)'!D10</f>
        <v>0</v>
      </c>
      <c r="D37" s="1550">
        <f>'17. finanszírozás be_ki (B8,K9)'!E10</f>
        <v>0</v>
      </c>
      <c r="E37" s="1022"/>
      <c r="F37" s="1023"/>
      <c r="G37" s="1177"/>
      <c r="H37" s="1178"/>
      <c r="I37" s="1022">
        <f t="shared" si="10"/>
        <v>0</v>
      </c>
      <c r="J37" s="1023">
        <f t="shared" si="10"/>
        <v>0</v>
      </c>
      <c r="K37" s="1177">
        <f t="shared" si="11"/>
        <v>0</v>
      </c>
      <c r="L37" s="617">
        <f t="shared" si="11"/>
        <v>0</v>
      </c>
      <c r="M37" s="258"/>
      <c r="N37" s="258"/>
    </row>
    <row r="38" spans="1:14" s="257" customFormat="1" ht="18.75" customHeight="1" x14ac:dyDescent="0.3">
      <c r="A38" s="267" t="s">
        <v>303</v>
      </c>
      <c r="B38" s="821" t="s">
        <v>302</v>
      </c>
      <c r="C38" s="1420">
        <f t="shared" ref="C38:H38" si="12">SUM(C36:C37)</f>
        <v>0</v>
      </c>
      <c r="D38" s="1556">
        <f t="shared" si="12"/>
        <v>0</v>
      </c>
      <c r="E38" s="1420">
        <f t="shared" si="12"/>
        <v>0</v>
      </c>
      <c r="F38" s="1421">
        <f t="shared" si="12"/>
        <v>0</v>
      </c>
      <c r="G38" s="1422">
        <f t="shared" si="12"/>
        <v>0</v>
      </c>
      <c r="H38" s="1423">
        <f t="shared" si="12"/>
        <v>0</v>
      </c>
      <c r="I38" s="1420">
        <f t="shared" si="10"/>
        <v>0</v>
      </c>
      <c r="J38" s="1421">
        <f t="shared" si="10"/>
        <v>0</v>
      </c>
      <c r="K38" s="1422">
        <f t="shared" si="11"/>
        <v>0</v>
      </c>
      <c r="L38" s="624">
        <f t="shared" si="11"/>
        <v>0</v>
      </c>
      <c r="M38" s="549"/>
      <c r="N38" s="549"/>
    </row>
    <row r="39" spans="1:14" s="257" customFormat="1" ht="18.75" customHeight="1" x14ac:dyDescent="0.3">
      <c r="A39" s="267" t="s">
        <v>472</v>
      </c>
      <c r="B39" s="821" t="str">
        <f>'17. finanszírozás be_ki (B8,K9)'!C12</f>
        <v>Belföldi kincstárjegy</v>
      </c>
      <c r="C39" s="1420">
        <f>'17. finanszírozás be_ki (B8,K9)'!D12</f>
        <v>0</v>
      </c>
      <c r="D39" s="1556">
        <f>'17. finanszírozás be_ki (B8,K9)'!E12</f>
        <v>0</v>
      </c>
      <c r="E39" s="1420"/>
      <c r="F39" s="1421"/>
      <c r="G39" s="1422"/>
      <c r="H39" s="1423"/>
      <c r="I39" s="1420">
        <f t="shared" si="10"/>
        <v>0</v>
      </c>
      <c r="J39" s="1421">
        <f t="shared" si="10"/>
        <v>0</v>
      </c>
      <c r="K39" s="1422">
        <f t="shared" si="11"/>
        <v>0</v>
      </c>
      <c r="L39" s="624">
        <f t="shared" si="11"/>
        <v>0</v>
      </c>
      <c r="M39" s="549"/>
      <c r="N39" s="549"/>
    </row>
    <row r="40" spans="1:14" ht="18.75" customHeight="1" x14ac:dyDescent="0.35">
      <c r="A40" s="266" t="s">
        <v>305</v>
      </c>
      <c r="B40" s="818" t="s">
        <v>876</v>
      </c>
      <c r="C40" s="1022">
        <f>'17. finanszírozás be_ki (B8,K9)'!D13</f>
        <v>463128</v>
      </c>
      <c r="D40" s="1550">
        <f>'17. finanszírozás be_ki (B8,K9)'!E13</f>
        <v>0</v>
      </c>
      <c r="E40" s="1022"/>
      <c r="F40" s="1023"/>
      <c r="G40" s="1177"/>
      <c r="H40" s="1178">
        <f>'3. Gesz költségvetés'!P32</f>
        <v>0</v>
      </c>
      <c r="I40" s="1022">
        <f t="shared" si="10"/>
        <v>463128</v>
      </c>
      <c r="J40" s="1023">
        <f t="shared" si="10"/>
        <v>0</v>
      </c>
      <c r="K40" s="1177">
        <f t="shared" si="11"/>
        <v>463128</v>
      </c>
      <c r="L40" s="617">
        <f t="shared" si="11"/>
        <v>0</v>
      </c>
      <c r="M40" s="258"/>
    </row>
    <row r="41" spans="1:14" ht="18.75" customHeight="1" x14ac:dyDescent="0.35">
      <c r="A41" s="266" t="s">
        <v>305</v>
      </c>
      <c r="B41" s="15" t="s">
        <v>981</v>
      </c>
      <c r="C41" s="1022">
        <v>0</v>
      </c>
      <c r="D41" s="1550">
        <f>'17. finanszírozás be_ki (B8,K9)'!E14</f>
        <v>0</v>
      </c>
      <c r="E41" s="1022"/>
      <c r="F41" s="1023"/>
      <c r="G41" s="1177"/>
      <c r="H41" s="1178"/>
      <c r="I41" s="1022"/>
      <c r="J41" s="1023"/>
      <c r="K41" s="1177"/>
      <c r="L41" s="624">
        <f>D41+F41+H41</f>
        <v>0</v>
      </c>
      <c r="M41" s="258"/>
    </row>
    <row r="42" spans="1:14" s="257" customFormat="1" ht="18.75" customHeight="1" x14ac:dyDescent="0.3">
      <c r="A42" s="267" t="s">
        <v>308</v>
      </c>
      <c r="B42" s="819" t="s">
        <v>307</v>
      </c>
      <c r="C42" s="1420">
        <f t="shared" ref="C42:H42" si="13">SUM(C40:C40)</f>
        <v>463128</v>
      </c>
      <c r="D42" s="1556">
        <f>SUM(D40:D41)</f>
        <v>0</v>
      </c>
      <c r="E42" s="1420">
        <f t="shared" si="13"/>
        <v>0</v>
      </c>
      <c r="F42" s="1421">
        <f t="shared" si="13"/>
        <v>0</v>
      </c>
      <c r="G42" s="1422">
        <f t="shared" si="13"/>
        <v>0</v>
      </c>
      <c r="H42" s="1423">
        <f t="shared" si="13"/>
        <v>0</v>
      </c>
      <c r="I42" s="1420">
        <f t="shared" si="10"/>
        <v>463128</v>
      </c>
      <c r="J42" s="1421">
        <f t="shared" si="10"/>
        <v>0</v>
      </c>
      <c r="K42" s="1422">
        <f t="shared" si="11"/>
        <v>463128</v>
      </c>
      <c r="L42" s="624">
        <f t="shared" si="11"/>
        <v>0</v>
      </c>
      <c r="M42" s="549"/>
    </row>
    <row r="43" spans="1:14" s="1180" customFormat="1" ht="18.75" customHeight="1" x14ac:dyDescent="0.35">
      <c r="A43" s="266" t="s">
        <v>310</v>
      </c>
      <c r="B43" s="868" t="s">
        <v>355</v>
      </c>
      <c r="C43" s="1022"/>
      <c r="D43" s="1550"/>
      <c r="E43" s="1022">
        <f>'2.Kiadások_részletes '!E35-'2.Bevételek_részletes'!E33</f>
        <v>498620.91463871999</v>
      </c>
      <c r="F43" s="1023">
        <f>'2.Kiadások_részletes '!F35-'2.Bevételek_részletes'!F33-F42</f>
        <v>440605</v>
      </c>
      <c r="G43" s="1177">
        <f>'3. Gesz költségvetés'!O33</f>
        <v>598772</v>
      </c>
      <c r="H43" s="1178">
        <f>'3. Gesz költségvetés'!P33</f>
        <v>674218</v>
      </c>
      <c r="I43" s="1022">
        <f t="shared" si="10"/>
        <v>1097392.91463872</v>
      </c>
      <c r="J43" s="1023">
        <f t="shared" si="10"/>
        <v>1114823</v>
      </c>
      <c r="K43" s="1177"/>
      <c r="L43" s="1023"/>
      <c r="M43" s="1179"/>
    </row>
    <row r="44" spans="1:14" ht="18.75" customHeight="1" x14ac:dyDescent="0.35">
      <c r="A44" s="759" t="s">
        <v>318</v>
      </c>
      <c r="B44" s="869" t="s">
        <v>317</v>
      </c>
      <c r="C44" s="763">
        <f>C43+C42+C38+C39</f>
        <v>463128</v>
      </c>
      <c r="D44" s="1557">
        <f>D43+D42+D38+D39</f>
        <v>0</v>
      </c>
      <c r="E44" s="763">
        <f>E43+E42+E38</f>
        <v>498620.91463871999</v>
      </c>
      <c r="F44" s="760">
        <f>F43+F42+F38</f>
        <v>440605</v>
      </c>
      <c r="G44" s="875">
        <f>G43+G42+G38</f>
        <v>598772</v>
      </c>
      <c r="H44" s="882">
        <f>H43+H42+H38</f>
        <v>674218</v>
      </c>
      <c r="I44" s="763">
        <f>I38+I42+I43+I39</f>
        <v>1560520.91463872</v>
      </c>
      <c r="J44" s="760">
        <f>J38+J42+J43+J39</f>
        <v>1114823</v>
      </c>
      <c r="K44" s="875">
        <f>K38+K42+K43+K39</f>
        <v>463128</v>
      </c>
      <c r="L44" s="760">
        <f>L38+L42+L43+L39</f>
        <v>0</v>
      </c>
      <c r="M44" s="258"/>
    </row>
    <row r="45" spans="1:14" ht="18.600000000000001" thickBot="1" x14ac:dyDescent="0.4">
      <c r="A45" s="761"/>
      <c r="B45" s="823" t="s">
        <v>488</v>
      </c>
      <c r="C45" s="764">
        <f t="shared" ref="C45:H45" si="14">C44+C33</f>
        <v>2117552.77048796</v>
      </c>
      <c r="D45" s="1558">
        <f>D44+D33+1</f>
        <v>1843826.4</v>
      </c>
      <c r="E45" s="764">
        <f t="shared" si="14"/>
        <v>668027.64110000001</v>
      </c>
      <c r="F45" s="762">
        <f t="shared" si="14"/>
        <v>601316</v>
      </c>
      <c r="G45" s="876">
        <f t="shared" si="14"/>
        <v>980244</v>
      </c>
      <c r="H45" s="883">
        <f t="shared" si="14"/>
        <v>1080040</v>
      </c>
      <c r="I45" s="764">
        <f>I33+I44</f>
        <v>3765824.4115879601</v>
      </c>
      <c r="J45" s="762">
        <f>J33+J44</f>
        <v>3525182</v>
      </c>
      <c r="K45" s="876">
        <f>K33+K44</f>
        <v>2668431.4969492401</v>
      </c>
      <c r="L45" s="762">
        <f>L33+L44</f>
        <v>2410359</v>
      </c>
      <c r="M45" s="258"/>
    </row>
    <row r="46" spans="1:14" hidden="1" x14ac:dyDescent="0.35"/>
    <row r="47" spans="1:14" hidden="1" x14ac:dyDescent="0.35">
      <c r="D47" s="258"/>
      <c r="E47" s="258"/>
      <c r="F47" s="258"/>
      <c r="G47" s="258"/>
      <c r="H47" s="258"/>
      <c r="I47" s="258"/>
      <c r="J47" s="258"/>
      <c r="K47" s="258"/>
      <c r="L47" s="258"/>
    </row>
    <row r="48" spans="1:14" hidden="1" x14ac:dyDescent="0.35">
      <c r="E48" s="258"/>
      <c r="F48" s="258"/>
    </row>
    <row r="49" spans="3:12" hidden="1" x14ac:dyDescent="0.35">
      <c r="C49" s="258">
        <f>C45-'2.Kiadások_részletes '!C35</f>
        <v>0.21911924006417394</v>
      </c>
      <c r="D49" s="258">
        <f>D45-'2.Kiadások_részletes '!D35-1</f>
        <v>-0.4599999999627471</v>
      </c>
      <c r="E49" s="258">
        <f>E45-'2.Kiadások_részletes '!E35</f>
        <v>0</v>
      </c>
      <c r="F49" s="258">
        <f>F45-'2.Kiadások_részletes '!F35</f>
        <v>0</v>
      </c>
      <c r="G49" s="258">
        <f>G45-'2.Kiadások_részletes '!G35</f>
        <v>0</v>
      </c>
      <c r="H49" s="258">
        <f>H45-'2.Kiadások_részletes '!H35</f>
        <v>0</v>
      </c>
      <c r="I49" s="258">
        <f>I45-'2.Kiadások_részletes '!I35</f>
        <v>0.21911924006417394</v>
      </c>
      <c r="J49" s="258">
        <f>J45-'2.Kiadások_részletes '!J35</f>
        <v>0.14000000013038516</v>
      </c>
      <c r="K49" s="258">
        <f>K45-'2.Kiadások_részletes '!K35</f>
        <v>0.21911924006417394</v>
      </c>
      <c r="L49" s="258">
        <f>L45-'2.Kiadások_részletes '!L35</f>
        <v>0.14000000013038516</v>
      </c>
    </row>
    <row r="50" spans="3:12" hidden="1" x14ac:dyDescent="0.35"/>
    <row r="51" spans="3:12" hidden="1" x14ac:dyDescent="0.35"/>
    <row r="52" spans="3:12" hidden="1" x14ac:dyDescent="0.35">
      <c r="C52" s="258"/>
      <c r="D52" s="258"/>
      <c r="E52" s="258"/>
      <c r="F52" s="258"/>
      <c r="G52" s="258"/>
      <c r="H52" s="258"/>
      <c r="I52" s="258"/>
      <c r="J52" s="258"/>
      <c r="K52" s="258"/>
      <c r="L52" s="258"/>
    </row>
    <row r="53" spans="3:12" hidden="1" x14ac:dyDescent="0.35"/>
    <row r="54" spans="3:12" hidden="1" x14ac:dyDescent="0.35">
      <c r="C54" s="258"/>
      <c r="D54" s="258"/>
      <c r="E54" s="258"/>
      <c r="F54" s="258"/>
      <c r="G54" s="258"/>
      <c r="H54" s="258"/>
      <c r="I54" s="258"/>
      <c r="J54" s="258"/>
      <c r="K54" s="258"/>
      <c r="L54" s="258"/>
    </row>
    <row r="55" spans="3:12" hidden="1" x14ac:dyDescent="0.35">
      <c r="I55" s="258"/>
      <c r="J55" s="258"/>
      <c r="K55" s="258"/>
      <c r="L55" s="258"/>
    </row>
    <row r="56" spans="3:12" hidden="1" x14ac:dyDescent="0.35">
      <c r="C56" s="258"/>
      <c r="D56" s="258"/>
      <c r="I56" s="258"/>
      <c r="J56" s="258"/>
      <c r="K56" s="258"/>
      <c r="L56" s="258"/>
    </row>
    <row r="57" spans="3:12" hidden="1" x14ac:dyDescent="0.35">
      <c r="C57" s="258"/>
      <c r="D57" s="258"/>
    </row>
    <row r="58" spans="3:12" hidden="1" x14ac:dyDescent="0.35">
      <c r="C58" s="258"/>
      <c r="D58" s="258"/>
    </row>
    <row r="59" spans="3:12" hidden="1" x14ac:dyDescent="0.35"/>
    <row r="60" spans="3:12" hidden="1" x14ac:dyDescent="0.35"/>
    <row r="61" spans="3:12" x14ac:dyDescent="0.35">
      <c r="C61" s="258"/>
      <c r="D61" s="258"/>
    </row>
    <row r="62" spans="3:12" x14ac:dyDescent="0.35">
      <c r="C62" s="258"/>
      <c r="D62" s="258"/>
    </row>
    <row r="63" spans="3:12" x14ac:dyDescent="0.35">
      <c r="K63" s="258"/>
      <c r="L63" s="258"/>
    </row>
    <row r="64" spans="3:12" x14ac:dyDescent="0.35">
      <c r="K64" s="258"/>
      <c r="L64" s="258"/>
    </row>
    <row r="66" spans="3:12" x14ac:dyDescent="0.35">
      <c r="I66" s="258"/>
      <c r="J66" s="258"/>
      <c r="K66" s="258"/>
      <c r="L66" s="258"/>
    </row>
    <row r="67" spans="3:12" x14ac:dyDescent="0.35">
      <c r="I67" s="258"/>
      <c r="J67" s="258"/>
      <c r="K67" s="258"/>
      <c r="L67" s="258"/>
    </row>
    <row r="68" spans="3:12" x14ac:dyDescent="0.35">
      <c r="I68" s="258"/>
      <c r="J68" s="258"/>
      <c r="K68" s="258"/>
      <c r="L68" s="258"/>
    </row>
    <row r="69" spans="3:12" x14ac:dyDescent="0.35">
      <c r="I69" s="258"/>
      <c r="J69" s="258"/>
      <c r="K69" s="258"/>
      <c r="L69" s="258"/>
    </row>
    <row r="70" spans="3:12" x14ac:dyDescent="0.35">
      <c r="I70" s="258"/>
      <c r="J70" s="258"/>
      <c r="K70" s="258"/>
      <c r="L70" s="258"/>
    </row>
    <row r="71" spans="3:12" x14ac:dyDescent="0.35">
      <c r="C71" s="258"/>
      <c r="D71" s="258"/>
      <c r="E71" s="258"/>
      <c r="F71" s="258"/>
      <c r="G71" s="258"/>
      <c r="H71" s="258"/>
      <c r="I71" s="258"/>
      <c r="J71" s="258"/>
      <c r="K71" s="258"/>
      <c r="L71" s="258"/>
    </row>
  </sheetData>
  <mergeCells count="3">
    <mergeCell ref="A1:L1"/>
    <mergeCell ref="A2:L2"/>
    <mergeCell ref="A3:L3"/>
  </mergeCells>
  <phoneticPr fontId="57" type="noConversion"/>
  <hyperlinks>
    <hyperlink ref="M1" location="Munka1!A1" display="Munka1!A1" xr:uid="{00000000-0004-0000-0300-000000000000}"/>
  </hyperlinks>
  <pageMargins left="0.16" right="0.24" top="0.28999999999999998" bottom="0.35" header="0.31496062992125984" footer="0.31496062992125984"/>
  <pageSetup paperSize="8" scale="7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92D050"/>
    <pageSetUpPr fitToPage="1"/>
  </sheetPr>
  <dimension ref="A1:Q78"/>
  <sheetViews>
    <sheetView view="pageBreakPreview" zoomScale="55" zoomScaleSheetLayoutView="55" workbookViewId="0">
      <pane xSplit="2" ySplit="8" topLeftCell="C9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defaultColWidth="9.109375" defaultRowHeight="15.6" x14ac:dyDescent="0.3"/>
  <cols>
    <col min="1" max="1" width="12.109375" style="4" customWidth="1"/>
    <col min="2" max="2" width="103.44140625" style="4" bestFit="1" customWidth="1"/>
    <col min="3" max="4" width="18.5546875" style="4" customWidth="1"/>
    <col min="5" max="6" width="17.5546875" style="4" customWidth="1"/>
    <col min="7" max="8" width="16.44140625" style="4" customWidth="1"/>
    <col min="9" max="10" width="15.44140625" style="4" customWidth="1"/>
    <col min="11" max="12" width="16.6640625" style="4" customWidth="1"/>
    <col min="13" max="13" width="9.6640625" style="4" hidden="1" customWidth="1"/>
    <col min="14" max="21" width="0" style="4" hidden="1" customWidth="1"/>
    <col min="22" max="16384" width="9.109375" style="4"/>
  </cols>
  <sheetData>
    <row r="1" spans="1:14" ht="21" customHeight="1" x14ac:dyDescent="0.4">
      <c r="A1" s="1832" t="str">
        <f>Tartalomjegyzék_2021!A1</f>
        <v>Pilisvörösvár Város Önkormányzata Képviselő-testületének 1/2021. (II. 15.) önkormányzati rendelete</v>
      </c>
      <c r="B1" s="1832"/>
      <c r="C1" s="1832"/>
      <c r="D1" s="1832"/>
      <c r="E1" s="1832"/>
      <c r="F1" s="1832"/>
      <c r="G1" s="1832"/>
      <c r="H1" s="1832"/>
      <c r="I1" s="1830"/>
      <c r="J1" s="1830"/>
      <c r="K1" s="1830"/>
      <c r="L1" s="1831"/>
      <c r="M1" s="1362" t="s">
        <v>758</v>
      </c>
    </row>
    <row r="2" spans="1:14" ht="7.5" customHeight="1" x14ac:dyDescent="0.4">
      <c r="A2" s="728"/>
      <c r="B2" s="729"/>
      <c r="C2" s="729"/>
      <c r="D2" s="729"/>
      <c r="E2" s="729"/>
      <c r="F2" s="729"/>
      <c r="G2" s="729"/>
      <c r="H2" s="729"/>
      <c r="I2" s="730"/>
      <c r="J2" s="730"/>
      <c r="K2" s="730"/>
      <c r="L2" s="730"/>
    </row>
    <row r="3" spans="1:14" ht="21" customHeight="1" x14ac:dyDescent="0.4">
      <c r="A3" s="1832" t="str">
        <f>Tartalomjegyzék_2021!A2</f>
        <v>az Önkormányzat  2021. évi költségvetéséről</v>
      </c>
      <c r="B3" s="1832"/>
      <c r="C3" s="1832"/>
      <c r="D3" s="1832"/>
      <c r="E3" s="1832"/>
      <c r="F3" s="1832"/>
      <c r="G3" s="1832"/>
      <c r="H3" s="1832"/>
      <c r="I3" s="1830"/>
      <c r="J3" s="1830"/>
      <c r="K3" s="1830"/>
      <c r="L3" s="1831"/>
    </row>
    <row r="4" spans="1:14" ht="22.5" customHeight="1" x14ac:dyDescent="0.4">
      <c r="A4" s="1832" t="str">
        <f>Tartalomjegyzék_2021!B9</f>
        <v xml:space="preserve">Pilisvörösvár Város Önkormányzata működési és felhalmozási célú kiadások részletes bemutatása </v>
      </c>
      <c r="B4" s="1832"/>
      <c r="C4" s="1832"/>
      <c r="D4" s="1832"/>
      <c r="E4" s="1832"/>
      <c r="F4" s="1832"/>
      <c r="G4" s="1832"/>
      <c r="H4" s="1832"/>
      <c r="I4" s="1830"/>
      <c r="J4" s="1830"/>
      <c r="K4" s="1830"/>
      <c r="L4" s="1831"/>
    </row>
    <row r="5" spans="1:14" ht="22.5" customHeight="1" x14ac:dyDescent="0.3">
      <c r="A5" s="510"/>
      <c r="B5" s="510"/>
      <c r="C5" s="510"/>
      <c r="D5" s="510"/>
      <c r="E5" s="510"/>
      <c r="F5" s="510"/>
      <c r="G5" s="510"/>
      <c r="H5" s="510"/>
      <c r="I5" s="507"/>
      <c r="J5" s="755"/>
      <c r="L5" s="721" t="s">
        <v>11</v>
      </c>
    </row>
    <row r="6" spans="1:14" ht="18" x14ac:dyDescent="0.3">
      <c r="A6" s="89"/>
      <c r="B6" s="89"/>
      <c r="C6" s="505"/>
      <c r="D6" s="510"/>
      <c r="E6" s="505"/>
      <c r="F6" s="510"/>
      <c r="G6" s="505"/>
      <c r="H6" s="510"/>
      <c r="L6" s="271"/>
    </row>
    <row r="7" spans="1:14" ht="21.6" thickBot="1" x14ac:dyDescent="0.45">
      <c r="L7" s="693" t="s">
        <v>201</v>
      </c>
    </row>
    <row r="8" spans="1:14" s="270" customFormat="1" ht="105.75" customHeight="1" thickBot="1" x14ac:dyDescent="0.4">
      <c r="A8" s="896" t="s">
        <v>165</v>
      </c>
      <c r="B8" s="897" t="s">
        <v>241</v>
      </c>
      <c r="C8" s="1559" t="str">
        <f>'2.Bevételek_részletes'!C7</f>
        <v>Önkormányzat 2020. évi eredeti előirányzat</v>
      </c>
      <c r="D8" s="1560" t="str">
        <f>'2.Bevételek_részletes'!D7</f>
        <v>Önkormányzat 2021. évi eredeti előirányzat</v>
      </c>
      <c r="E8" s="1559" t="str">
        <f>'2.Bevételek_részletes'!E7</f>
        <v>Polgármesteri Hivatal 2020. évi eredeti előirányzat</v>
      </c>
      <c r="F8" s="1560" t="str">
        <f>'2.Bevételek_részletes'!F7</f>
        <v>Polgármesteri Hivatal 2021. évi eredeti előirányzat</v>
      </c>
      <c r="G8" s="891" t="str">
        <f>'2.Bevételek_részletes'!G7</f>
        <v>Önkormányzati intézmények   2020. évi eredeti előirányzat</v>
      </c>
      <c r="H8" s="892" t="str">
        <f>'2.Bevételek_részletes'!H7</f>
        <v>Önkormányzati intézmények   2021. évi eredeti előirányzat</v>
      </c>
      <c r="I8" s="891" t="str">
        <f>'2.Bevételek_részletes'!I7</f>
        <v>2020. évi             Eredeti előirányzat Összesen</v>
      </c>
      <c r="J8" s="892" t="str">
        <f>'2.Bevételek_részletes'!J7</f>
        <v>2021. évi             Eredeti előirányzat Összesen</v>
      </c>
      <c r="K8" s="891" t="str">
        <f>'2.Bevételek_részletes'!K7</f>
        <v>2020. évi            Konszolidált eredeti előirányzat</v>
      </c>
      <c r="L8" s="892" t="str">
        <f>'2.Bevételek_részletes'!L7</f>
        <v>2021. évi            Konszolidált eredeti előirányzat</v>
      </c>
      <c r="N8" s="1181"/>
    </row>
    <row r="9" spans="1:14" s="562" customFormat="1" ht="28.5" customHeight="1" x14ac:dyDescent="0.35">
      <c r="A9" s="895" t="s">
        <v>68</v>
      </c>
      <c r="B9" s="1114" t="s">
        <v>167</v>
      </c>
      <c r="C9" s="1592">
        <v>62123</v>
      </c>
      <c r="D9" s="1586">
        <v>55878</v>
      </c>
      <c r="E9" s="1616">
        <v>360340</v>
      </c>
      <c r="F9" s="1182">
        <v>299999</v>
      </c>
      <c r="G9" s="1615">
        <f>'3. Gesz költségvetés'!O36</f>
        <v>601766</v>
      </c>
      <c r="H9" s="1184">
        <f>'3. Gesz költségvetés'!P36</f>
        <v>685721</v>
      </c>
      <c r="I9" s="1183">
        <f>C9+E9+G9</f>
        <v>1024229</v>
      </c>
      <c r="J9" s="1184">
        <f>D9+F9+H9</f>
        <v>1041598</v>
      </c>
      <c r="K9" s="1183">
        <f>C9+E9+G9</f>
        <v>1024229</v>
      </c>
      <c r="L9" s="1184">
        <f>D9+F9+H9</f>
        <v>1041598</v>
      </c>
      <c r="M9" s="1181"/>
      <c r="N9" s="1181"/>
    </row>
    <row r="10" spans="1:14" s="562" customFormat="1" ht="28.5" customHeight="1" x14ac:dyDescent="0.35">
      <c r="A10" s="625" t="s">
        <v>63</v>
      </c>
      <c r="B10" s="824" t="s">
        <v>64</v>
      </c>
      <c r="C10" s="767">
        <v>2300</v>
      </c>
      <c r="D10" s="1587">
        <v>2300</v>
      </c>
      <c r="E10" s="1611">
        <v>1000</v>
      </c>
      <c r="F10" s="561">
        <v>1000</v>
      </c>
      <c r="G10" s="1611">
        <f>'3. Gesz költségvetés'!O38</f>
        <v>1550</v>
      </c>
      <c r="H10" s="561">
        <f>'3. Gesz költségvetés'!P38</f>
        <v>1250</v>
      </c>
      <c r="I10" s="767">
        <f>C10+E10+G10</f>
        <v>4850</v>
      </c>
      <c r="J10" s="561">
        <f>D10+F10+H10</f>
        <v>4550</v>
      </c>
      <c r="K10" s="767">
        <f>C10+E10+G10</f>
        <v>4850</v>
      </c>
      <c r="L10" s="561">
        <f>D10+F10+H10</f>
        <v>4550</v>
      </c>
      <c r="M10" s="1181"/>
      <c r="N10" s="1181"/>
    </row>
    <row r="11" spans="1:14" s="562" customFormat="1" ht="28.5" customHeight="1" x14ac:dyDescent="0.35">
      <c r="A11" s="626" t="s">
        <v>166</v>
      </c>
      <c r="B11" s="903" t="s">
        <v>167</v>
      </c>
      <c r="C11" s="529">
        <f t="shared" ref="C11:D11" si="0">C9+C10</f>
        <v>64423</v>
      </c>
      <c r="D11" s="530">
        <f t="shared" si="0"/>
        <v>58178</v>
      </c>
      <c r="E11" s="1610">
        <f>E9+E10</f>
        <v>361340</v>
      </c>
      <c r="F11" s="530">
        <f>F9+F10</f>
        <v>300999</v>
      </c>
      <c r="G11" s="1610">
        <f t="shared" ref="G11" si="1">G9+G10</f>
        <v>603316</v>
      </c>
      <c r="H11" s="530">
        <f>H9+H10</f>
        <v>686971</v>
      </c>
      <c r="I11" s="529">
        <f>C11+E11+G11-1</f>
        <v>1029078</v>
      </c>
      <c r="J11" s="530">
        <f t="shared" ref="J11:J19" si="2">D11+F11+H11</f>
        <v>1046148</v>
      </c>
      <c r="K11" s="529">
        <f>C11+E11+G11-1</f>
        <v>1029078</v>
      </c>
      <c r="L11" s="530">
        <f t="shared" ref="L11:L19" si="3">D11+F11+H11</f>
        <v>1046148</v>
      </c>
      <c r="M11" s="1181"/>
    </row>
    <row r="12" spans="1:14" s="562" customFormat="1" ht="28.5" customHeight="1" x14ac:dyDescent="0.35">
      <c r="A12" s="626" t="s">
        <v>168</v>
      </c>
      <c r="B12" s="821" t="s">
        <v>169</v>
      </c>
      <c r="C12" s="529">
        <v>10984</v>
      </c>
      <c r="D12" s="1588">
        <v>9037</v>
      </c>
      <c r="E12" s="1610">
        <v>69326</v>
      </c>
      <c r="F12" s="530">
        <v>47830</v>
      </c>
      <c r="G12" s="1610">
        <f>'3. Gesz költségvetés'!O40</f>
        <v>108509</v>
      </c>
      <c r="H12" s="530">
        <f>'3. Gesz költségvetés'!P40</f>
        <v>106664</v>
      </c>
      <c r="I12" s="529">
        <f t="shared" ref="I12:I19" si="4">C12+E12+G12</f>
        <v>188819</v>
      </c>
      <c r="J12" s="530">
        <f t="shared" si="2"/>
        <v>163531</v>
      </c>
      <c r="K12" s="529">
        <f t="shared" ref="K12:K19" si="5">C12+E12+G12</f>
        <v>188819</v>
      </c>
      <c r="L12" s="530">
        <f t="shared" si="3"/>
        <v>163531</v>
      </c>
      <c r="M12" s="1181"/>
    </row>
    <row r="13" spans="1:14" s="562" customFormat="1" ht="28.5" customHeight="1" x14ac:dyDescent="0.35">
      <c r="A13" s="626" t="s">
        <v>170</v>
      </c>
      <c r="B13" s="821" t="s">
        <v>171</v>
      </c>
      <c r="C13" s="529">
        <f>'18. Dologi kiadások cofog(K3)'!D34</f>
        <v>231878.89173</v>
      </c>
      <c r="D13" s="1588">
        <f>'18. Dologi kiadások cofog(K3)'!E34</f>
        <v>209638.86</v>
      </c>
      <c r="E13" s="1610">
        <f>'18. Dologi kiadások cofog(K3)'!F34</f>
        <v>224851.64110000001</v>
      </c>
      <c r="F13" s="530">
        <f>'18. Dologi kiadások cofog(K3)'!G34</f>
        <v>246182</v>
      </c>
      <c r="G13" s="1610">
        <f>'3. Gesz költségvetés'!O41</f>
        <v>265624</v>
      </c>
      <c r="H13" s="530">
        <f>'3. Gesz költségvetés'!P41</f>
        <v>283610</v>
      </c>
      <c r="I13" s="529">
        <f t="shared" si="4"/>
        <v>722354.53283000004</v>
      </c>
      <c r="J13" s="530">
        <f t="shared" si="2"/>
        <v>739430.86</v>
      </c>
      <c r="K13" s="529">
        <f t="shared" si="5"/>
        <v>722354.53283000004</v>
      </c>
      <c r="L13" s="530">
        <f t="shared" si="3"/>
        <v>739430.86</v>
      </c>
      <c r="M13" s="1181"/>
    </row>
    <row r="14" spans="1:14" s="562" customFormat="1" ht="28.5" customHeight="1" x14ac:dyDescent="0.35">
      <c r="A14" s="626" t="s">
        <v>172</v>
      </c>
      <c r="B14" s="821" t="s">
        <v>23</v>
      </c>
      <c r="C14" s="529">
        <f>'19._Ellátottak p.jutattás (K4)'!D22</f>
        <v>16432</v>
      </c>
      <c r="D14" s="1588">
        <f>'19._Ellátottak p.jutattás (K4)'!E22</f>
        <v>16432</v>
      </c>
      <c r="E14" s="1610">
        <f>'19._Ellátottak p.jutattás (K4)'!F22</f>
        <v>3500</v>
      </c>
      <c r="F14" s="530">
        <f>'19._Ellátottak p.jutattás (K4)'!G22</f>
        <v>1000</v>
      </c>
      <c r="G14" s="1610">
        <v>0</v>
      </c>
      <c r="H14" s="530">
        <v>0</v>
      </c>
      <c r="I14" s="529">
        <f t="shared" si="4"/>
        <v>19932</v>
      </c>
      <c r="J14" s="530">
        <f t="shared" si="2"/>
        <v>17432</v>
      </c>
      <c r="K14" s="529">
        <f t="shared" si="5"/>
        <v>19932</v>
      </c>
      <c r="L14" s="530">
        <f t="shared" si="3"/>
        <v>17432</v>
      </c>
      <c r="M14" s="1181"/>
    </row>
    <row r="15" spans="1:14" s="562" customFormat="1" ht="28.5" customHeight="1" x14ac:dyDescent="0.35">
      <c r="A15" s="625" t="s">
        <v>96</v>
      </c>
      <c r="B15" s="820" t="s">
        <v>97</v>
      </c>
      <c r="C15" s="767">
        <f>'20. Pe. átad. és tám. (K5)'!D13</f>
        <v>679</v>
      </c>
      <c r="D15" s="1587">
        <f>'20. Pe. átad. és tám. (K5)'!E13</f>
        <v>110362</v>
      </c>
      <c r="E15" s="1611"/>
      <c r="F15" s="561"/>
      <c r="G15" s="1611">
        <v>0</v>
      </c>
      <c r="H15" s="561">
        <v>0</v>
      </c>
      <c r="I15" s="767">
        <f t="shared" si="4"/>
        <v>679</v>
      </c>
      <c r="J15" s="561">
        <f t="shared" si="2"/>
        <v>110362</v>
      </c>
      <c r="K15" s="767">
        <f t="shared" si="5"/>
        <v>679</v>
      </c>
      <c r="L15" s="561">
        <f t="shared" si="3"/>
        <v>110362</v>
      </c>
      <c r="M15" s="1181"/>
    </row>
    <row r="16" spans="1:14" s="562" customFormat="1" ht="28.5" customHeight="1" x14ac:dyDescent="0.35">
      <c r="A16" s="625" t="s">
        <v>173</v>
      </c>
      <c r="B16" s="824" t="s">
        <v>174</v>
      </c>
      <c r="C16" s="767">
        <f>'20. Pe. átad. és tám. (K5)'!D21</f>
        <v>169275.61199999999</v>
      </c>
      <c r="D16" s="1587">
        <f>'20. Pe. átad. és tám. (K5)'!E21</f>
        <v>179719</v>
      </c>
      <c r="E16" s="1611"/>
      <c r="F16" s="561"/>
      <c r="G16" s="1611">
        <v>0</v>
      </c>
      <c r="H16" s="561">
        <v>0</v>
      </c>
      <c r="I16" s="767">
        <f t="shared" si="4"/>
        <v>169275.61199999999</v>
      </c>
      <c r="J16" s="561">
        <f t="shared" si="2"/>
        <v>179719</v>
      </c>
      <c r="K16" s="767">
        <f t="shared" si="5"/>
        <v>169275.61199999999</v>
      </c>
      <c r="L16" s="561">
        <f t="shared" si="3"/>
        <v>179719</v>
      </c>
      <c r="M16" s="1181"/>
    </row>
    <row r="17" spans="1:17" s="562" customFormat="1" ht="28.5" customHeight="1" x14ac:dyDescent="0.35">
      <c r="A17" s="625" t="s">
        <v>176</v>
      </c>
      <c r="B17" s="824" t="s">
        <v>175</v>
      </c>
      <c r="C17" s="767">
        <f>'20. Pe. átad. és tám. (K5)'!D29</f>
        <v>17970</v>
      </c>
      <c r="D17" s="1587">
        <f>'20. Pe. átad. és tám. (K5)'!E29</f>
        <v>66430</v>
      </c>
      <c r="E17" s="1611"/>
      <c r="F17" s="561"/>
      <c r="G17" s="1611">
        <v>0</v>
      </c>
      <c r="H17" s="561">
        <v>0</v>
      </c>
      <c r="I17" s="767">
        <f t="shared" si="4"/>
        <v>17970</v>
      </c>
      <c r="J17" s="561">
        <f t="shared" si="2"/>
        <v>66430</v>
      </c>
      <c r="K17" s="767">
        <f t="shared" si="5"/>
        <v>17970</v>
      </c>
      <c r="L17" s="561">
        <f t="shared" si="3"/>
        <v>66430</v>
      </c>
      <c r="M17" s="1181"/>
    </row>
    <row r="18" spans="1:17" s="562" customFormat="1" ht="28.5" customHeight="1" x14ac:dyDescent="0.35">
      <c r="A18" s="625" t="s">
        <v>544</v>
      </c>
      <c r="B18" s="1115" t="s">
        <v>65</v>
      </c>
      <c r="C18" s="767">
        <f>'20. Pe. átad. és tám. (K5)'!D33</f>
        <v>181630.11900000001</v>
      </c>
      <c r="D18" s="1587">
        <f>'20. Pe. átad. és tám. (K5)'!E33</f>
        <v>60501</v>
      </c>
      <c r="E18" s="1611"/>
      <c r="F18" s="561"/>
      <c r="G18" s="1611">
        <v>0</v>
      </c>
      <c r="H18" s="561">
        <v>0</v>
      </c>
      <c r="I18" s="767">
        <f t="shared" si="4"/>
        <v>181630.11900000001</v>
      </c>
      <c r="J18" s="561">
        <f t="shared" si="2"/>
        <v>60501</v>
      </c>
      <c r="K18" s="767">
        <f t="shared" si="5"/>
        <v>181630.11900000001</v>
      </c>
      <c r="L18" s="561">
        <f t="shared" si="3"/>
        <v>60501</v>
      </c>
      <c r="M18" s="1181"/>
    </row>
    <row r="19" spans="1:17" s="562" customFormat="1" ht="28.5" customHeight="1" x14ac:dyDescent="0.35">
      <c r="A19" s="626" t="s">
        <v>179</v>
      </c>
      <c r="B19" s="821" t="s">
        <v>180</v>
      </c>
      <c r="C19" s="529">
        <f>SUM(C15:C18)</f>
        <v>369554.73100000003</v>
      </c>
      <c r="D19" s="1588">
        <f>SUM(D15:D18)</f>
        <v>417012</v>
      </c>
      <c r="E19" s="1610">
        <f>SUM(E15:E18)</f>
        <v>0</v>
      </c>
      <c r="F19" s="530">
        <f>SUM(F15:F18)</f>
        <v>0</v>
      </c>
      <c r="G19" s="1610">
        <f>'3. Gesz költségvetés'!O47</f>
        <v>0</v>
      </c>
      <c r="H19" s="530">
        <f>'3. Gesz költségvetés'!P47</f>
        <v>0</v>
      </c>
      <c r="I19" s="529">
        <f t="shared" si="4"/>
        <v>369554.73100000003</v>
      </c>
      <c r="J19" s="530">
        <f t="shared" si="2"/>
        <v>417012</v>
      </c>
      <c r="K19" s="529">
        <f t="shared" si="5"/>
        <v>369554.73100000003</v>
      </c>
      <c r="L19" s="530">
        <f t="shared" si="3"/>
        <v>417012</v>
      </c>
      <c r="M19" s="1181"/>
    </row>
    <row r="20" spans="1:17" s="6" customFormat="1" ht="28.5" customHeight="1" x14ac:dyDescent="0.35">
      <c r="A20" s="627" t="s">
        <v>360</v>
      </c>
      <c r="B20" s="1116" t="s">
        <v>202</v>
      </c>
      <c r="C20" s="525">
        <f>C19+C14+C13+C12+C11-1</f>
        <v>693271.62273000006</v>
      </c>
      <c r="D20" s="1589">
        <f>D19+D14+D13+D12+D11</f>
        <v>710297.86</v>
      </c>
      <c r="E20" s="1612">
        <f>E19+E14+E13+E12+E11</f>
        <v>659017.64110000001</v>
      </c>
      <c r="F20" s="526">
        <f>F19+F14+F13+F12+F11</f>
        <v>596011</v>
      </c>
      <c r="G20" s="1612">
        <f t="shared" ref="G20:L20" si="6">G11+G12+G13+G14+G19</f>
        <v>977449</v>
      </c>
      <c r="H20" s="526">
        <f t="shared" si="6"/>
        <v>1077245</v>
      </c>
      <c r="I20" s="525">
        <f>I11+I12+I13+I14+I19</f>
        <v>2329738.2638300001</v>
      </c>
      <c r="J20" s="526">
        <f t="shared" si="6"/>
        <v>2383553.86</v>
      </c>
      <c r="K20" s="525">
        <f>K11+K12+K13+K14+K19</f>
        <v>2329738.2638300001</v>
      </c>
      <c r="L20" s="526">
        <f t="shared" si="6"/>
        <v>2383553.86</v>
      </c>
      <c r="M20" s="541"/>
    </row>
    <row r="21" spans="1:17" s="562" customFormat="1" ht="28.5" customHeight="1" x14ac:dyDescent="0.35">
      <c r="A21" s="626" t="s">
        <v>181</v>
      </c>
      <c r="B21" s="904" t="s">
        <v>321</v>
      </c>
      <c r="C21" s="529">
        <f>'22. Beruházás (K6)'!C37</f>
        <v>283028.01400000002</v>
      </c>
      <c r="D21" s="1588">
        <f>'22. Beruházás (K6)'!D37</f>
        <v>17385</v>
      </c>
      <c r="E21" s="1610">
        <f>'22. Beruházás (K6)'!E37</f>
        <v>9010</v>
      </c>
      <c r="F21" s="530">
        <f>'22. Beruházás (K6)'!F37</f>
        <v>5305</v>
      </c>
      <c r="G21" s="1610">
        <f>'3. Gesz költségvetés'!O49</f>
        <v>2795</v>
      </c>
      <c r="H21" s="530">
        <f>'3. Gesz költségvetés'!P49</f>
        <v>2795</v>
      </c>
      <c r="I21" s="529">
        <f t="shared" ref="I21:J25" si="7">C21+E21+G21</f>
        <v>294833.01400000002</v>
      </c>
      <c r="J21" s="530">
        <f t="shared" si="7"/>
        <v>25485</v>
      </c>
      <c r="K21" s="529">
        <f t="shared" ref="K21:L25" si="8">C21+E21+G21</f>
        <v>294833.01400000002</v>
      </c>
      <c r="L21" s="530">
        <f t="shared" si="8"/>
        <v>25485</v>
      </c>
      <c r="M21" s="1181"/>
    </row>
    <row r="22" spans="1:17" s="562" customFormat="1" ht="28.5" customHeight="1" x14ac:dyDescent="0.35">
      <c r="A22" s="626" t="s">
        <v>182</v>
      </c>
      <c r="B22" s="821" t="s">
        <v>183</v>
      </c>
      <c r="C22" s="529">
        <f>'23. Felújítás (K7)'!C17</f>
        <v>13695</v>
      </c>
      <c r="D22" s="1588">
        <f>'23. Felújítás (K7)'!D17</f>
        <v>0</v>
      </c>
      <c r="E22" s="1610">
        <f>'23. Felújítás (K7)'!E17</f>
        <v>0</v>
      </c>
      <c r="F22" s="530">
        <f>'23. Felújítás (K7)'!F17</f>
        <v>0</v>
      </c>
      <c r="G22" s="1610">
        <f>'3. Gesz költségvetés'!O50</f>
        <v>0</v>
      </c>
      <c r="H22" s="530">
        <f>'3. Gesz költségvetés'!P50</f>
        <v>0</v>
      </c>
      <c r="I22" s="529">
        <f t="shared" si="7"/>
        <v>13695</v>
      </c>
      <c r="J22" s="530">
        <f t="shared" si="7"/>
        <v>0</v>
      </c>
      <c r="K22" s="529">
        <f t="shared" si="8"/>
        <v>13695</v>
      </c>
      <c r="L22" s="530">
        <f t="shared" si="8"/>
        <v>0</v>
      </c>
      <c r="M22" s="1181"/>
    </row>
    <row r="23" spans="1:17" s="562" customFormat="1" ht="28.5" customHeight="1" x14ac:dyDescent="0.35">
      <c r="A23" s="625" t="s">
        <v>141</v>
      </c>
      <c r="B23" s="1115" t="s">
        <v>475</v>
      </c>
      <c r="C23" s="767">
        <f>'20. Pe. átad. és tám. (K5)'!D36</f>
        <v>0</v>
      </c>
      <c r="D23" s="1587">
        <f>'20. Pe. átad. és tám. (K5)'!E36</f>
        <v>0</v>
      </c>
      <c r="E23" s="1611"/>
      <c r="F23" s="561"/>
      <c r="G23" s="1611">
        <v>0</v>
      </c>
      <c r="H23" s="561">
        <v>0</v>
      </c>
      <c r="I23" s="767">
        <f t="shared" si="7"/>
        <v>0</v>
      </c>
      <c r="J23" s="561">
        <f t="shared" si="7"/>
        <v>0</v>
      </c>
      <c r="K23" s="767">
        <f t="shared" si="8"/>
        <v>0</v>
      </c>
      <c r="L23" s="561">
        <f t="shared" si="8"/>
        <v>0</v>
      </c>
      <c r="M23" s="1181"/>
    </row>
    <row r="24" spans="1:17" s="562" customFormat="1" ht="28.5" customHeight="1" x14ac:dyDescent="0.35">
      <c r="A24" s="625" t="s">
        <v>584</v>
      </c>
      <c r="B24" s="1115" t="s">
        <v>585</v>
      </c>
      <c r="C24" s="767">
        <f>'20. Pe. átad. és tám. (K5)'!D38</f>
        <v>0</v>
      </c>
      <c r="D24" s="1587">
        <f>'20. Pe. átad. és tám. (K5)'!E38</f>
        <v>0</v>
      </c>
      <c r="E24" s="1611"/>
      <c r="F24" s="561"/>
      <c r="G24" s="1611">
        <v>0</v>
      </c>
      <c r="H24" s="561">
        <v>0</v>
      </c>
      <c r="I24" s="767">
        <f t="shared" si="7"/>
        <v>0</v>
      </c>
      <c r="J24" s="561">
        <f t="shared" si="7"/>
        <v>0</v>
      </c>
      <c r="K24" s="767">
        <f t="shared" si="8"/>
        <v>0</v>
      </c>
      <c r="L24" s="561">
        <f t="shared" si="8"/>
        <v>0</v>
      </c>
      <c r="M24" s="1181"/>
    </row>
    <row r="25" spans="1:17" s="562" customFormat="1" ht="28.5" customHeight="1" x14ac:dyDescent="0.35">
      <c r="A25" s="626" t="s">
        <v>186</v>
      </c>
      <c r="B25" s="821" t="s">
        <v>187</v>
      </c>
      <c r="C25" s="529">
        <f>C23+C24</f>
        <v>0</v>
      </c>
      <c r="D25" s="1588">
        <f>D23+D24</f>
        <v>0</v>
      </c>
      <c r="E25" s="1610"/>
      <c r="F25" s="530"/>
      <c r="G25" s="1610">
        <f>'3. Gesz költségvetés'!O51</f>
        <v>0</v>
      </c>
      <c r="H25" s="530">
        <f>'3. Gesz költségvetés'!P51</f>
        <v>0</v>
      </c>
      <c r="I25" s="529">
        <f t="shared" si="7"/>
        <v>0</v>
      </c>
      <c r="J25" s="530">
        <f t="shared" si="7"/>
        <v>0</v>
      </c>
      <c r="K25" s="529">
        <f t="shared" si="8"/>
        <v>0</v>
      </c>
      <c r="L25" s="530">
        <f t="shared" si="8"/>
        <v>0</v>
      </c>
      <c r="M25" s="1181"/>
    </row>
    <row r="26" spans="1:17" s="6" customFormat="1" ht="28.5" customHeight="1" x14ac:dyDescent="0.35">
      <c r="A26" s="628" t="s">
        <v>486</v>
      </c>
      <c r="B26" s="1116" t="s">
        <v>203</v>
      </c>
      <c r="C26" s="525">
        <f>C21+C22+C25</f>
        <v>296723.01400000002</v>
      </c>
      <c r="D26" s="1589">
        <f>D21+D22+D25</f>
        <v>17385</v>
      </c>
      <c r="E26" s="1612">
        <f>E21+E22+E25</f>
        <v>9010</v>
      </c>
      <c r="F26" s="526">
        <f>F21+F22+F25</f>
        <v>5305</v>
      </c>
      <c r="G26" s="1612">
        <f>SUM(G21:G25)</f>
        <v>2795</v>
      </c>
      <c r="H26" s="526">
        <f>SUM(H21:H25)</f>
        <v>2795</v>
      </c>
      <c r="I26" s="525">
        <f>SUM(I21:I24)</f>
        <v>308528.01400000002</v>
      </c>
      <c r="J26" s="526">
        <f>SUM(J21:J24)</f>
        <v>25485</v>
      </c>
      <c r="K26" s="525">
        <f>SUM(K21:K24)</f>
        <v>308528.01400000002</v>
      </c>
      <c r="L26" s="526">
        <f>SUM(L21:L24)</f>
        <v>25485</v>
      </c>
      <c r="M26" s="541"/>
    </row>
    <row r="27" spans="1:17" s="6" customFormat="1" ht="28.5" customHeight="1" x14ac:dyDescent="0.35">
      <c r="A27" s="292" t="s">
        <v>188</v>
      </c>
      <c r="B27" s="822" t="s">
        <v>189</v>
      </c>
      <c r="C27" s="527">
        <f t="shared" ref="C27:J27" si="9">C20+C26</f>
        <v>989994.63673000014</v>
      </c>
      <c r="D27" s="1590">
        <f>D20+D26</f>
        <v>727682.86</v>
      </c>
      <c r="E27" s="1613">
        <f t="shared" si="9"/>
        <v>668027.64110000001</v>
      </c>
      <c r="F27" s="528">
        <f t="shared" si="9"/>
        <v>601316</v>
      </c>
      <c r="G27" s="1613">
        <f t="shared" si="9"/>
        <v>980244</v>
      </c>
      <c r="H27" s="528">
        <f t="shared" si="9"/>
        <v>1080040</v>
      </c>
      <c r="I27" s="527">
        <f t="shared" si="9"/>
        <v>2638266.27783</v>
      </c>
      <c r="J27" s="528">
        <f t="shared" si="9"/>
        <v>2409038.86</v>
      </c>
      <c r="K27" s="527">
        <f>K20+K26</f>
        <v>2638266.27783</v>
      </c>
      <c r="L27" s="528">
        <f>L20+L26</f>
        <v>2409038.86</v>
      </c>
      <c r="M27" s="541"/>
    </row>
    <row r="28" spans="1:17" s="1386" customFormat="1" ht="28.5" customHeight="1" x14ac:dyDescent="0.3">
      <c r="A28" s="629"/>
      <c r="B28" s="1383" t="s">
        <v>67</v>
      </c>
      <c r="C28" s="1384">
        <f>'17. finanszírozás be_ki (B8,K9)'!D25</f>
        <v>1320</v>
      </c>
      <c r="D28" s="1591">
        <f>'17. finanszírozás be_ki (B8,K9)'!E25</f>
        <v>1320</v>
      </c>
      <c r="E28" s="1614"/>
      <c r="F28" s="945"/>
      <c r="G28" s="1614"/>
      <c r="H28" s="945"/>
      <c r="I28" s="1384">
        <f t="shared" ref="I28:J33" si="10">C28+E28+G28</f>
        <v>1320</v>
      </c>
      <c r="J28" s="945">
        <f t="shared" si="10"/>
        <v>1320</v>
      </c>
      <c r="K28" s="1384">
        <f t="shared" ref="K28:L32" si="11">C28+E28+G28</f>
        <v>1320</v>
      </c>
      <c r="L28" s="945">
        <f t="shared" si="11"/>
        <v>1320</v>
      </c>
      <c r="M28" s="1385"/>
    </row>
    <row r="29" spans="1:17" s="562" customFormat="1" ht="28.5" customHeight="1" x14ac:dyDescent="0.35">
      <c r="A29" s="629"/>
      <c r="B29" s="820" t="s">
        <v>219</v>
      </c>
      <c r="C29" s="767">
        <f>'17. finanszírozás be_ki (B8,K9)'!D26</f>
        <v>0</v>
      </c>
      <c r="D29" s="1587">
        <f>'17. finanszírozás be_ki (B8,K9)'!E26</f>
        <v>0</v>
      </c>
      <c r="E29" s="1611"/>
      <c r="F29" s="561"/>
      <c r="G29" s="1611"/>
      <c r="H29" s="561"/>
      <c r="I29" s="767">
        <f t="shared" si="10"/>
        <v>0</v>
      </c>
      <c r="J29" s="561">
        <f t="shared" si="10"/>
        <v>0</v>
      </c>
      <c r="K29" s="767">
        <f t="shared" si="11"/>
        <v>0</v>
      </c>
      <c r="L29" s="561">
        <f t="shared" si="11"/>
        <v>0</v>
      </c>
      <c r="M29" s="1181"/>
      <c r="N29" s="278"/>
      <c r="O29" s="278"/>
      <c r="P29" s="1185"/>
      <c r="Q29" s="1185"/>
    </row>
    <row r="30" spans="1:17" s="562" customFormat="1" ht="28.5" customHeight="1" x14ac:dyDescent="0.35">
      <c r="A30" s="629" t="s">
        <v>190</v>
      </c>
      <c r="B30" s="821" t="s">
        <v>191</v>
      </c>
      <c r="C30" s="529">
        <f>SUM(C28:C29)</f>
        <v>1320</v>
      </c>
      <c r="D30" s="1588">
        <f>SUM(D28:D29)</f>
        <v>1320</v>
      </c>
      <c r="E30" s="1610"/>
      <c r="F30" s="530"/>
      <c r="G30" s="1610"/>
      <c r="H30" s="530"/>
      <c r="I30" s="529">
        <f t="shared" si="10"/>
        <v>1320</v>
      </c>
      <c r="J30" s="530">
        <f t="shared" si="10"/>
        <v>1320</v>
      </c>
      <c r="K30" s="529">
        <f t="shared" si="11"/>
        <v>1320</v>
      </c>
      <c r="L30" s="530">
        <f t="shared" si="11"/>
        <v>1320</v>
      </c>
      <c r="M30" s="1181"/>
      <c r="N30" s="278"/>
      <c r="O30" s="278"/>
      <c r="P30" s="1185"/>
      <c r="Q30" s="1185"/>
    </row>
    <row r="31" spans="1:17" s="562" customFormat="1" ht="28.5" customHeight="1" x14ac:dyDescent="0.35">
      <c r="A31" s="629" t="s">
        <v>192</v>
      </c>
      <c r="B31" s="821" t="str">
        <f>'17. finanszírozás be_ki (B8,K9)'!C29</f>
        <v xml:space="preserve">Belföldi értékpapírok kiadásai </v>
      </c>
      <c r="C31" s="529">
        <f>'17. finanszírozás be_ki (B8,K9)'!D29</f>
        <v>0</v>
      </c>
      <c r="D31" s="1588">
        <f>'17. finanszírozás be_ki (B8,K9)'!E29</f>
        <v>0</v>
      </c>
      <c r="E31" s="1610"/>
      <c r="F31" s="530"/>
      <c r="G31" s="1610"/>
      <c r="H31" s="530"/>
      <c r="I31" s="529">
        <f t="shared" si="10"/>
        <v>0</v>
      </c>
      <c r="J31" s="530">
        <f t="shared" si="10"/>
        <v>0</v>
      </c>
      <c r="K31" s="529">
        <f t="shared" si="11"/>
        <v>0</v>
      </c>
      <c r="L31" s="530">
        <f t="shared" si="11"/>
        <v>0</v>
      </c>
      <c r="M31" s="1181"/>
      <c r="N31" s="278"/>
      <c r="O31" s="278"/>
      <c r="P31" s="1185"/>
      <c r="Q31" s="1185"/>
    </row>
    <row r="32" spans="1:17" s="562" customFormat="1" ht="28.5" customHeight="1" x14ac:dyDescent="0.35">
      <c r="A32" s="629" t="s">
        <v>514</v>
      </c>
      <c r="B32" s="821" t="s">
        <v>571</v>
      </c>
      <c r="C32" s="529">
        <f>'17. finanszírozás be_ki (B8,K9)'!D30</f>
        <v>28845</v>
      </c>
      <c r="D32" s="1588">
        <f>'17. finanszírozás be_ki (B8,K9)'!E30</f>
        <v>0</v>
      </c>
      <c r="E32" s="1610"/>
      <c r="F32" s="530"/>
      <c r="G32" s="1610"/>
      <c r="H32" s="530"/>
      <c r="I32" s="529">
        <f t="shared" si="10"/>
        <v>28845</v>
      </c>
      <c r="J32" s="530">
        <f t="shared" si="10"/>
        <v>0</v>
      </c>
      <c r="K32" s="529">
        <f t="shared" si="11"/>
        <v>28845</v>
      </c>
      <c r="L32" s="530">
        <f t="shared" si="11"/>
        <v>0</v>
      </c>
      <c r="M32" s="1181"/>
      <c r="N32" s="278"/>
      <c r="O32" s="278"/>
      <c r="P32" s="1185"/>
      <c r="Q32" s="1185"/>
    </row>
    <row r="33" spans="1:17" s="562" customFormat="1" ht="28.5" customHeight="1" x14ac:dyDescent="0.35">
      <c r="A33" s="629" t="s">
        <v>204</v>
      </c>
      <c r="B33" s="904" t="s">
        <v>66</v>
      </c>
      <c r="C33" s="529">
        <f>'3. Gesz költségvetés'!O33+'2.Bevételek_részletes'!E43+'3. Gesz költségvetés'!M33</f>
        <v>1097392.91463872</v>
      </c>
      <c r="D33" s="1588">
        <f>'3. Gesz költségvetés'!P33+'2.Bevételek_részletes'!F43+'3. Gesz költségvetés'!N33</f>
        <v>1114823</v>
      </c>
      <c r="E33" s="1610"/>
      <c r="F33" s="530"/>
      <c r="G33" s="1610"/>
      <c r="H33" s="530"/>
      <c r="I33" s="529">
        <f t="shared" si="10"/>
        <v>1097392.91463872</v>
      </c>
      <c r="J33" s="530">
        <f t="shared" si="10"/>
        <v>1114823</v>
      </c>
      <c r="K33" s="529"/>
      <c r="L33" s="530"/>
      <c r="M33" s="1181"/>
      <c r="N33" s="282"/>
      <c r="O33" s="282"/>
      <c r="P33" s="1185"/>
      <c r="Q33" s="1185"/>
    </row>
    <row r="34" spans="1:17" s="562" customFormat="1" ht="28.5" customHeight="1" x14ac:dyDescent="0.35">
      <c r="A34" s="629" t="s">
        <v>194</v>
      </c>
      <c r="B34" s="904" t="s">
        <v>195</v>
      </c>
      <c r="C34" s="529">
        <f>C30+C33+C32+C31</f>
        <v>1127557.91463872</v>
      </c>
      <c r="D34" s="1588">
        <f>D30+D33+D32+D31</f>
        <v>1116143</v>
      </c>
      <c r="E34" s="1610">
        <f t="shared" ref="E34:H34" si="12">E30+E33</f>
        <v>0</v>
      </c>
      <c r="F34" s="530">
        <f t="shared" si="12"/>
        <v>0</v>
      </c>
      <c r="G34" s="1610">
        <f t="shared" si="12"/>
        <v>0</v>
      </c>
      <c r="H34" s="530">
        <f t="shared" si="12"/>
        <v>0</v>
      </c>
      <c r="I34" s="529">
        <f>I30+I33+I32</f>
        <v>1127557.91463872</v>
      </c>
      <c r="J34" s="530">
        <f>J30+J33+J32+J31</f>
        <v>1116143</v>
      </c>
      <c r="K34" s="529">
        <f>K30+K33+K32</f>
        <v>30165</v>
      </c>
      <c r="L34" s="530">
        <f>L30+L33+L32+L31</f>
        <v>1320</v>
      </c>
      <c r="M34" s="1181"/>
      <c r="N34" s="293"/>
      <c r="O34" s="293"/>
      <c r="P34" s="1185"/>
      <c r="Q34" s="1185"/>
    </row>
    <row r="35" spans="1:17" s="6" customFormat="1" ht="28.5" customHeight="1" thickBot="1" x14ac:dyDescent="0.4">
      <c r="A35" s="766"/>
      <c r="B35" s="905" t="s">
        <v>487</v>
      </c>
      <c r="C35" s="764">
        <f>C34+C27</f>
        <v>2117552.5513687199</v>
      </c>
      <c r="D35" s="1558">
        <f>D34+D27</f>
        <v>1843825.8599999999</v>
      </c>
      <c r="E35" s="876">
        <f t="shared" ref="E35:I35" si="13">E27+E34</f>
        <v>668027.64110000001</v>
      </c>
      <c r="F35" s="762">
        <f>F27+F34</f>
        <v>601316</v>
      </c>
      <c r="G35" s="876">
        <f t="shared" si="13"/>
        <v>980244</v>
      </c>
      <c r="H35" s="762">
        <f>H27+H34</f>
        <v>1080040</v>
      </c>
      <c r="I35" s="764">
        <f t="shared" si="13"/>
        <v>3765824.19246872</v>
      </c>
      <c r="J35" s="762">
        <f>J27+J34</f>
        <v>3525181.86</v>
      </c>
      <c r="K35" s="764">
        <f>K27+K34</f>
        <v>2668431.27783</v>
      </c>
      <c r="L35" s="762">
        <f>L27+L34</f>
        <v>2410358.86</v>
      </c>
      <c r="M35" s="541"/>
      <c r="N35" s="287"/>
      <c r="O35" s="287"/>
      <c r="P35" s="287"/>
      <c r="Q35" s="287"/>
    </row>
    <row r="36" spans="1:17" hidden="1" x14ac:dyDescent="0.3">
      <c r="A36" s="43"/>
      <c r="C36" s="43"/>
      <c r="D36" s="43"/>
      <c r="E36" s="43"/>
      <c r="F36" s="43"/>
      <c r="G36" s="43"/>
      <c r="H36" s="43"/>
      <c r="I36" s="43"/>
      <c r="J36" s="43"/>
      <c r="K36" s="79">
        <f>+I35-K35</f>
        <v>1097392.91463872</v>
      </c>
      <c r="L36" s="79">
        <f>+J35-L35</f>
        <v>1114823</v>
      </c>
      <c r="M36" s="43"/>
      <c r="N36" s="43"/>
      <c r="O36" s="43"/>
      <c r="P36" s="43"/>
      <c r="Q36" s="43"/>
    </row>
    <row r="37" spans="1:17" hidden="1" x14ac:dyDescent="0.3">
      <c r="A37" s="43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43"/>
      <c r="N37" s="43"/>
      <c r="O37" s="43"/>
      <c r="P37" s="43"/>
      <c r="Q37" s="43"/>
    </row>
    <row r="38" spans="1:17" ht="29.25" hidden="1" customHeight="1" x14ac:dyDescent="0.3">
      <c r="A38" s="43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43"/>
      <c r="N38" s="43"/>
      <c r="O38" s="43"/>
      <c r="P38" s="43"/>
      <c r="Q38" s="43"/>
    </row>
    <row r="39" spans="1:17" ht="18" hidden="1" x14ac:dyDescent="0.35">
      <c r="A39" s="43"/>
      <c r="B39" s="256"/>
      <c r="C39" s="79"/>
      <c r="D39" s="79"/>
      <c r="E39" s="43"/>
      <c r="F39" s="43"/>
      <c r="G39" s="43"/>
      <c r="H39" s="43"/>
      <c r="I39" s="79"/>
      <c r="J39" s="79"/>
      <c r="K39" s="79"/>
      <c r="L39" s="79"/>
      <c r="M39" s="43"/>
      <c r="N39" s="43"/>
      <c r="O39" s="43"/>
      <c r="P39" s="43"/>
      <c r="Q39" s="43"/>
    </row>
    <row r="40" spans="1:17" ht="18" hidden="1" x14ac:dyDescent="0.35">
      <c r="A40" s="43"/>
      <c r="B40" s="256"/>
      <c r="C40" s="79"/>
      <c r="D40" s="79"/>
      <c r="E40" s="43"/>
      <c r="F40" s="43"/>
      <c r="G40" s="43"/>
      <c r="H40" s="43"/>
      <c r="I40" s="79"/>
      <c r="J40" s="79"/>
      <c r="K40" s="79"/>
      <c r="L40" s="79"/>
      <c r="M40" s="43"/>
      <c r="N40" s="43"/>
      <c r="O40" s="43"/>
      <c r="P40" s="43"/>
      <c r="Q40" s="43"/>
    </row>
    <row r="41" spans="1:17" ht="18" hidden="1" x14ac:dyDescent="0.35">
      <c r="A41" s="43"/>
      <c r="B41" s="256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</row>
    <row r="42" spans="1:17" x14ac:dyDescent="0.3">
      <c r="A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</row>
    <row r="43" spans="1:17" x14ac:dyDescent="0.3">
      <c r="A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</row>
    <row r="44" spans="1:17" x14ac:dyDescent="0.3">
      <c r="A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</row>
    <row r="45" spans="1:17" x14ac:dyDescent="0.3">
      <c r="A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</row>
    <row r="46" spans="1:17" x14ac:dyDescent="0.3">
      <c r="A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</row>
    <row r="47" spans="1:17" x14ac:dyDescent="0.3">
      <c r="A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</row>
    <row r="48" spans="1:17" x14ac:dyDescent="0.3">
      <c r="A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</row>
    <row r="49" spans="1:17" x14ac:dyDescent="0.3">
      <c r="A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</row>
    <row r="50" spans="1:17" x14ac:dyDescent="0.3">
      <c r="A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</row>
    <row r="51" spans="1:17" x14ac:dyDescent="0.3">
      <c r="A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</row>
    <row r="52" spans="1:17" x14ac:dyDescent="0.3">
      <c r="A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</row>
    <row r="53" spans="1:17" x14ac:dyDescent="0.3">
      <c r="A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</row>
    <row r="54" spans="1:17" x14ac:dyDescent="0.3">
      <c r="A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</row>
    <row r="55" spans="1:17" x14ac:dyDescent="0.3">
      <c r="A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</row>
    <row r="56" spans="1:17" x14ac:dyDescent="0.3">
      <c r="A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</row>
    <row r="57" spans="1:17" x14ac:dyDescent="0.3">
      <c r="A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</row>
    <row r="58" spans="1:17" x14ac:dyDescent="0.3">
      <c r="A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</row>
    <row r="59" spans="1:17" x14ac:dyDescent="0.3">
      <c r="A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</row>
    <row r="60" spans="1:17" x14ac:dyDescent="0.3">
      <c r="A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</row>
    <row r="61" spans="1:17" x14ac:dyDescent="0.3">
      <c r="A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</row>
    <row r="62" spans="1:17" x14ac:dyDescent="0.3">
      <c r="A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</row>
    <row r="63" spans="1:17" x14ac:dyDescent="0.3">
      <c r="A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</row>
    <row r="64" spans="1:17" x14ac:dyDescent="0.3">
      <c r="A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</row>
    <row r="65" spans="1:17" x14ac:dyDescent="0.3">
      <c r="A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1:17" x14ac:dyDescent="0.3">
      <c r="A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1:17" x14ac:dyDescent="0.3">
      <c r="A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3">
      <c r="A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3">
      <c r="A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3">
      <c r="A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1:17" x14ac:dyDescent="0.3">
      <c r="A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1:17" x14ac:dyDescent="0.3">
      <c r="A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1:17" x14ac:dyDescent="0.3">
      <c r="A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1:17" x14ac:dyDescent="0.3">
      <c r="A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1:17" x14ac:dyDescent="0.3">
      <c r="A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</row>
    <row r="76" spans="1:17" x14ac:dyDescent="0.3">
      <c r="A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1:17" x14ac:dyDescent="0.3">
      <c r="A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1:17" x14ac:dyDescent="0.3">
      <c r="A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</sheetData>
  <mergeCells count="3">
    <mergeCell ref="A1:L1"/>
    <mergeCell ref="A3:L3"/>
    <mergeCell ref="A4:L4"/>
  </mergeCells>
  <phoneticPr fontId="57" type="noConversion"/>
  <hyperlinks>
    <hyperlink ref="M1" location="Munka1!A1" display="Munka1!A1" xr:uid="{00000000-0004-0000-0400-000000000000}"/>
  </hyperlinks>
  <pageMargins left="0.2" right="0.15" top="1" bottom="1" header="0.5" footer="0.5"/>
  <pageSetup paperSize="8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5">
    <tabColor rgb="FF92D050"/>
    <pageSetUpPr fitToPage="1"/>
  </sheetPr>
  <dimension ref="A1:AC60"/>
  <sheetViews>
    <sheetView view="pageBreakPreview" zoomScale="40" zoomScaleSheetLayoutView="40" workbookViewId="0">
      <pane xSplit="2" ySplit="9" topLeftCell="C10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defaultColWidth="16.44140625" defaultRowHeight="18" x14ac:dyDescent="0.35"/>
  <cols>
    <col min="1" max="1" width="13.6640625" style="256" customWidth="1"/>
    <col min="2" max="2" width="77.5546875" style="256" customWidth="1"/>
    <col min="3" max="3" width="17.88671875" style="575" customWidth="1"/>
    <col min="4" max="4" width="17.5546875" style="575" customWidth="1"/>
    <col min="5" max="5" width="17.88671875" style="575" customWidth="1"/>
    <col min="6" max="6" width="17.6640625" style="575" customWidth="1"/>
    <col min="7" max="8" width="17.77734375" style="575" customWidth="1"/>
    <col min="9" max="9" width="17.6640625" style="575" customWidth="1"/>
    <col min="10" max="10" width="17.88671875" style="575" customWidth="1"/>
    <col min="11" max="14" width="19.6640625" style="575" customWidth="1"/>
    <col min="15" max="15" width="19.88671875" style="575" customWidth="1"/>
    <col min="16" max="16" width="20" style="575" customWidth="1"/>
    <col min="17" max="29" width="9.109375" style="256" hidden="1" customWidth="1"/>
    <col min="30" max="249" width="9.109375" style="256" customWidth="1"/>
    <col min="250" max="250" width="92.5546875" style="256" customWidth="1"/>
    <col min="251" max="251" width="9.109375" style="256" customWidth="1"/>
    <col min="252" max="16384" width="16.44140625" style="256"/>
  </cols>
  <sheetData>
    <row r="1" spans="1:19" ht="27" customHeight="1" x14ac:dyDescent="0.4">
      <c r="A1" s="1828" t="str">
        <f>Tartalomjegyzék_2021!A1</f>
        <v>Pilisvörösvár Város Önkormányzata Képviselő-testületének 1/2021. (II. 15.) önkormányzati rendelete</v>
      </c>
      <c r="B1" s="1828"/>
      <c r="C1" s="1828"/>
      <c r="D1" s="1828"/>
      <c r="E1" s="1828"/>
      <c r="F1" s="1828"/>
      <c r="G1" s="1828"/>
      <c r="H1" s="1828"/>
      <c r="I1" s="1833"/>
      <c r="J1" s="1833"/>
      <c r="K1" s="1833"/>
      <c r="L1" s="1833"/>
      <c r="M1" s="1833"/>
      <c r="N1" s="1833"/>
      <c r="O1" s="1831"/>
      <c r="P1" s="1831"/>
      <c r="Q1" s="1362" t="s">
        <v>758</v>
      </c>
    </row>
    <row r="2" spans="1:19" ht="8.25" customHeight="1" x14ac:dyDescent="0.4">
      <c r="A2" s="722"/>
      <c r="B2" s="722"/>
      <c r="C2" s="723"/>
      <c r="D2" s="723"/>
      <c r="E2" s="723"/>
      <c r="F2" s="723"/>
      <c r="G2" s="723"/>
      <c r="H2" s="723"/>
      <c r="I2" s="724"/>
      <c r="J2" s="724"/>
      <c r="K2" s="724"/>
      <c r="L2" s="724"/>
      <c r="M2" s="724"/>
      <c r="N2" s="724"/>
    </row>
    <row r="3" spans="1:19" ht="19.5" customHeight="1" x14ac:dyDescent="0.4">
      <c r="A3" s="1828" t="str">
        <f>'2.Kiadások_részletes '!A3:J3</f>
        <v>az Önkormányzat  2021. évi költségvetéséről</v>
      </c>
      <c r="B3" s="1828"/>
      <c r="C3" s="1828"/>
      <c r="D3" s="1828"/>
      <c r="E3" s="1828"/>
      <c r="F3" s="1828"/>
      <c r="G3" s="1828"/>
      <c r="H3" s="1828"/>
      <c r="I3" s="1833"/>
      <c r="J3" s="1833"/>
      <c r="K3" s="1833"/>
      <c r="L3" s="1833"/>
      <c r="M3" s="1833"/>
      <c r="N3" s="1833"/>
      <c r="O3" s="1831"/>
      <c r="P3" s="1831"/>
    </row>
    <row r="4" spans="1:19" ht="9.75" customHeight="1" x14ac:dyDescent="0.4">
      <c r="A4" s="722"/>
      <c r="B4" s="722"/>
      <c r="C4" s="723"/>
      <c r="D4" s="723"/>
      <c r="E4" s="723"/>
      <c r="F4" s="723"/>
      <c r="G4" s="723"/>
      <c r="H4" s="723"/>
      <c r="I4" s="724"/>
      <c r="J4" s="724"/>
      <c r="K4" s="724"/>
      <c r="L4" s="724"/>
      <c r="M4" s="724"/>
      <c r="N4" s="724"/>
    </row>
    <row r="5" spans="1:19" ht="21" customHeight="1" x14ac:dyDescent="0.4">
      <c r="A5" s="1828" t="str">
        <f>Tartalomjegyzék_2021!B10</f>
        <v xml:space="preserve">Önkormányzati intézmények működési és felhalmozási célú bevételi és kiadási előirányzatok részletes bemutatása </v>
      </c>
      <c r="B5" s="1828"/>
      <c r="C5" s="1828"/>
      <c r="D5" s="1828"/>
      <c r="E5" s="1828"/>
      <c r="F5" s="1828"/>
      <c r="G5" s="1828"/>
      <c r="H5" s="1828"/>
      <c r="I5" s="1833"/>
      <c r="J5" s="1833"/>
      <c r="K5" s="1833"/>
      <c r="L5" s="1833"/>
      <c r="M5" s="1833"/>
      <c r="N5" s="1833"/>
      <c r="O5" s="1831"/>
      <c r="P5" s="1831"/>
      <c r="Q5" s="669"/>
      <c r="R5" s="669"/>
      <c r="S5" s="669"/>
    </row>
    <row r="6" spans="1:19" ht="22.8" x14ac:dyDescent="0.35">
      <c r="A6" s="252"/>
      <c r="B6" s="252"/>
      <c r="C6" s="574"/>
      <c r="D6" s="574"/>
      <c r="E6" s="574"/>
      <c r="F6" s="574"/>
      <c r="G6" s="574"/>
      <c r="H6" s="574"/>
      <c r="I6" s="577"/>
      <c r="J6" s="577"/>
      <c r="K6" s="577"/>
      <c r="L6" s="577"/>
      <c r="M6" s="577"/>
      <c r="N6" s="577"/>
      <c r="O6" s="256"/>
      <c r="P6" s="731" t="s">
        <v>12</v>
      </c>
      <c r="Q6" s="531"/>
      <c r="R6" s="531"/>
      <c r="S6" s="531"/>
    </row>
    <row r="7" spans="1:19" ht="22.8" x14ac:dyDescent="0.35">
      <c r="A7" s="531"/>
      <c r="B7" s="531"/>
      <c r="C7" s="574"/>
      <c r="D7" s="574"/>
      <c r="E7" s="574"/>
      <c r="F7" s="574"/>
      <c r="G7" s="574"/>
      <c r="H7" s="574"/>
      <c r="I7" s="577"/>
      <c r="J7" s="577"/>
      <c r="K7" s="577"/>
      <c r="L7" s="577"/>
      <c r="M7" s="577"/>
      <c r="N7" s="577"/>
      <c r="O7" s="256"/>
      <c r="P7" s="731"/>
      <c r="Q7" s="531"/>
      <c r="R7" s="531"/>
      <c r="S7" s="531"/>
    </row>
    <row r="8" spans="1:19" ht="23.4" thickBot="1" x14ac:dyDescent="0.45">
      <c r="O8" s="256"/>
      <c r="P8" s="732" t="s">
        <v>201</v>
      </c>
    </row>
    <row r="9" spans="1:19" ht="142.5" customHeight="1" thickBot="1" x14ac:dyDescent="0.4">
      <c r="A9" s="910" t="s">
        <v>242</v>
      </c>
      <c r="B9" s="911" t="s">
        <v>237</v>
      </c>
      <c r="C9" s="910" t="s">
        <v>725</v>
      </c>
      <c r="D9" s="912" t="s">
        <v>817</v>
      </c>
      <c r="E9" s="910" t="s">
        <v>726</v>
      </c>
      <c r="F9" s="912" t="s">
        <v>818</v>
      </c>
      <c r="G9" s="1628" t="s">
        <v>727</v>
      </c>
      <c r="H9" s="1629" t="s">
        <v>819</v>
      </c>
      <c r="I9" s="1628" t="s">
        <v>728</v>
      </c>
      <c r="J9" s="1632" t="s">
        <v>820</v>
      </c>
      <c r="K9" s="910" t="s">
        <v>729</v>
      </c>
      <c r="L9" s="912" t="s">
        <v>821</v>
      </c>
      <c r="M9" s="1633" t="s">
        <v>722</v>
      </c>
      <c r="N9" s="1631" t="s">
        <v>814</v>
      </c>
      <c r="O9" s="1628" t="s">
        <v>827</v>
      </c>
      <c r="P9" s="1629" t="s">
        <v>828</v>
      </c>
    </row>
    <row r="10" spans="1:19" s="257" customFormat="1" ht="40.799999999999997" customHeight="1" x14ac:dyDescent="0.3">
      <c r="A10" s="906" t="s">
        <v>257</v>
      </c>
      <c r="B10" s="907" t="s">
        <v>358</v>
      </c>
      <c r="C10" s="908">
        <v>0</v>
      </c>
      <c r="D10" s="909">
        <v>0</v>
      </c>
      <c r="E10" s="908">
        <v>0</v>
      </c>
      <c r="F10" s="1617"/>
      <c r="G10" s="1117">
        <v>0</v>
      </c>
      <c r="H10" s="1630"/>
      <c r="I10" s="1117">
        <v>0</v>
      </c>
      <c r="J10" s="1630"/>
      <c r="K10" s="908">
        <v>0</v>
      </c>
      <c r="L10" s="1617"/>
      <c r="M10" s="1117">
        <v>342700</v>
      </c>
      <c r="N10" s="1630">
        <v>377682</v>
      </c>
      <c r="O10" s="1117">
        <f>C10+E10+G10+I10+K10+M10</f>
        <v>342700</v>
      </c>
      <c r="P10" s="1118">
        <f>D10+F10+H10+J10+L10+N10</f>
        <v>377682</v>
      </c>
    </row>
    <row r="11" spans="1:19" s="257" customFormat="1" ht="39.6" customHeight="1" x14ac:dyDescent="0.3">
      <c r="A11" s="630" t="s">
        <v>261</v>
      </c>
      <c r="B11" s="898" t="s">
        <v>359</v>
      </c>
      <c r="C11" s="770">
        <v>0</v>
      </c>
      <c r="D11" s="837">
        <v>0</v>
      </c>
      <c r="E11" s="770">
        <v>0</v>
      </c>
      <c r="F11" s="1618"/>
      <c r="G11" s="770">
        <v>0</v>
      </c>
      <c r="H11" s="1618"/>
      <c r="I11" s="770">
        <v>0</v>
      </c>
      <c r="J11" s="1618"/>
      <c r="K11" s="770">
        <v>0</v>
      </c>
      <c r="L11" s="1618"/>
      <c r="M11" s="770">
        <v>0</v>
      </c>
      <c r="N11" s="1618"/>
      <c r="O11" s="770">
        <f t="shared" ref="O11:O27" si="0">C11+E11+G11+I11+K11+M11</f>
        <v>0</v>
      </c>
      <c r="P11" s="837">
        <f t="shared" ref="O11:P23" si="1">D11+F11+H11+J11+L11+N11</f>
        <v>0</v>
      </c>
    </row>
    <row r="12" spans="1:19" ht="21" customHeight="1" x14ac:dyDescent="0.35">
      <c r="A12" s="828"/>
      <c r="B12" s="820" t="s">
        <v>555</v>
      </c>
      <c r="C12" s="771">
        <v>0</v>
      </c>
      <c r="D12" s="838">
        <v>0</v>
      </c>
      <c r="E12" s="771">
        <v>0</v>
      </c>
      <c r="F12" s="1619"/>
      <c r="G12" s="771">
        <v>6962</v>
      </c>
      <c r="H12" s="1619">
        <v>2000</v>
      </c>
      <c r="I12" s="771">
        <v>0</v>
      </c>
      <c r="J12" s="1619"/>
      <c r="K12" s="771">
        <v>0</v>
      </c>
      <c r="L12" s="1619"/>
      <c r="M12" s="771">
        <v>0</v>
      </c>
      <c r="N12" s="1619"/>
      <c r="O12" s="770">
        <f t="shared" si="0"/>
        <v>6962</v>
      </c>
      <c r="P12" s="837">
        <f t="shared" si="1"/>
        <v>2000</v>
      </c>
    </row>
    <row r="13" spans="1:19" s="547" customFormat="1" ht="21" customHeight="1" x14ac:dyDescent="0.35">
      <c r="A13" s="631" t="s">
        <v>267</v>
      </c>
      <c r="B13" s="899" t="s">
        <v>266</v>
      </c>
      <c r="C13" s="770">
        <f>SUM(C12:C12)</f>
        <v>0</v>
      </c>
      <c r="D13" s="837">
        <f>SUM(D12:D12)</f>
        <v>0</v>
      </c>
      <c r="E13" s="770">
        <f t="shared" ref="E13" si="2">SUM(E12:E12)</f>
        <v>0</v>
      </c>
      <c r="F13" s="1618">
        <f t="shared" ref="F13:L13" si="3">SUM(F12:F12)</f>
        <v>0</v>
      </c>
      <c r="G13" s="770">
        <f t="shared" ref="G13" si="4">SUM(G12:G12)</f>
        <v>6962</v>
      </c>
      <c r="H13" s="1618">
        <f t="shared" si="3"/>
        <v>2000</v>
      </c>
      <c r="I13" s="770">
        <f t="shared" si="3"/>
        <v>0</v>
      </c>
      <c r="J13" s="1618">
        <f t="shared" si="3"/>
        <v>0</v>
      </c>
      <c r="K13" s="770">
        <f t="shared" si="3"/>
        <v>0</v>
      </c>
      <c r="L13" s="1618">
        <f t="shared" si="3"/>
        <v>0</v>
      </c>
      <c r="M13" s="770">
        <v>0</v>
      </c>
      <c r="N13" s="1618"/>
      <c r="O13" s="770">
        <f t="shared" si="0"/>
        <v>6962</v>
      </c>
      <c r="P13" s="837">
        <f t="shared" si="1"/>
        <v>2000</v>
      </c>
    </row>
    <row r="14" spans="1:19" ht="21" customHeight="1" x14ac:dyDescent="0.35">
      <c r="A14" s="633"/>
      <c r="B14" s="820" t="s">
        <v>357</v>
      </c>
      <c r="C14" s="771">
        <v>0</v>
      </c>
      <c r="D14" s="838">
        <v>0</v>
      </c>
      <c r="E14" s="771">
        <v>0</v>
      </c>
      <c r="F14" s="1619"/>
      <c r="G14" s="771">
        <v>1000</v>
      </c>
      <c r="H14" s="1619">
        <v>1000</v>
      </c>
      <c r="I14" s="771">
        <v>0</v>
      </c>
      <c r="J14" s="1619"/>
      <c r="K14" s="771">
        <v>0</v>
      </c>
      <c r="L14" s="1619"/>
      <c r="M14" s="771">
        <v>0</v>
      </c>
      <c r="N14" s="1619"/>
      <c r="O14" s="770">
        <f t="shared" si="0"/>
        <v>1000</v>
      </c>
      <c r="P14" s="837">
        <f t="shared" si="1"/>
        <v>1000</v>
      </c>
    </row>
    <row r="15" spans="1:19" ht="21" customHeight="1" x14ac:dyDescent="0.35">
      <c r="A15" s="633"/>
      <c r="B15" s="820" t="s">
        <v>524</v>
      </c>
      <c r="C15" s="771">
        <v>0</v>
      </c>
      <c r="D15" s="838">
        <v>0</v>
      </c>
      <c r="E15" s="771">
        <v>0</v>
      </c>
      <c r="F15" s="1619"/>
      <c r="G15" s="771">
        <v>5000</v>
      </c>
      <c r="H15" s="1619"/>
      <c r="I15" s="771">
        <v>0</v>
      </c>
      <c r="J15" s="1619"/>
      <c r="K15" s="771">
        <v>0</v>
      </c>
      <c r="L15" s="1619"/>
      <c r="M15" s="771">
        <v>0</v>
      </c>
      <c r="N15" s="1619"/>
      <c r="O15" s="770">
        <f t="shared" si="0"/>
        <v>5000</v>
      </c>
      <c r="P15" s="837">
        <f t="shared" si="1"/>
        <v>0</v>
      </c>
    </row>
    <row r="16" spans="1:19" ht="21" customHeight="1" x14ac:dyDescent="0.35">
      <c r="A16" s="633"/>
      <c r="B16" s="820" t="s">
        <v>525</v>
      </c>
      <c r="C16" s="771">
        <v>0</v>
      </c>
      <c r="D16" s="838">
        <v>0</v>
      </c>
      <c r="E16" s="771">
        <v>0</v>
      </c>
      <c r="F16" s="1619"/>
      <c r="G16" s="771">
        <v>6000</v>
      </c>
      <c r="H16" s="1619">
        <v>6000</v>
      </c>
      <c r="I16" s="771">
        <v>0</v>
      </c>
      <c r="J16" s="1619"/>
      <c r="K16" s="771">
        <v>0</v>
      </c>
      <c r="L16" s="1619"/>
      <c r="M16" s="771">
        <v>0</v>
      </c>
      <c r="N16" s="1619"/>
      <c r="O16" s="770">
        <f t="shared" si="0"/>
        <v>6000</v>
      </c>
      <c r="P16" s="837">
        <f t="shared" si="1"/>
        <v>6000</v>
      </c>
    </row>
    <row r="17" spans="1:16" ht="21" customHeight="1" x14ac:dyDescent="0.35">
      <c r="A17" s="633"/>
      <c r="B17" s="820" t="s">
        <v>356</v>
      </c>
      <c r="C17" s="771">
        <v>300</v>
      </c>
      <c r="D17" s="838">
        <v>0</v>
      </c>
      <c r="E17" s="771">
        <v>400</v>
      </c>
      <c r="F17" s="1619">
        <v>400</v>
      </c>
      <c r="G17" s="771">
        <v>5500</v>
      </c>
      <c r="H17" s="1619">
        <v>3000</v>
      </c>
      <c r="I17" s="771">
        <v>0</v>
      </c>
      <c r="J17" s="1619"/>
      <c r="K17" s="771">
        <v>0</v>
      </c>
      <c r="L17" s="1619"/>
      <c r="M17" s="771">
        <v>0</v>
      </c>
      <c r="N17" s="1619"/>
      <c r="O17" s="770">
        <f t="shared" si="0"/>
        <v>6200</v>
      </c>
      <c r="P17" s="837">
        <f t="shared" si="1"/>
        <v>3400</v>
      </c>
    </row>
    <row r="18" spans="1:16" ht="21" customHeight="1" x14ac:dyDescent="0.35">
      <c r="A18" s="633"/>
      <c r="B18" s="820" t="s">
        <v>687</v>
      </c>
      <c r="C18" s="771">
        <v>0</v>
      </c>
      <c r="D18" s="838">
        <v>0</v>
      </c>
      <c r="E18" s="771">
        <v>0</v>
      </c>
      <c r="F18" s="1619"/>
      <c r="G18" s="771">
        <v>2500</v>
      </c>
      <c r="H18" s="1619">
        <v>2500</v>
      </c>
      <c r="I18" s="771">
        <v>0</v>
      </c>
      <c r="J18" s="1619"/>
      <c r="K18" s="771">
        <v>0</v>
      </c>
      <c r="L18" s="1619"/>
      <c r="M18" s="771">
        <v>0</v>
      </c>
      <c r="N18" s="1619"/>
      <c r="O18" s="770">
        <f t="shared" si="0"/>
        <v>2500</v>
      </c>
      <c r="P18" s="837">
        <f t="shared" si="1"/>
        <v>2500</v>
      </c>
    </row>
    <row r="19" spans="1:16" ht="21" customHeight="1" x14ac:dyDescent="0.35">
      <c r="A19" s="633"/>
      <c r="B19" s="820" t="s">
        <v>929</v>
      </c>
      <c r="C19" s="771"/>
      <c r="D19" s="838"/>
      <c r="E19" s="771"/>
      <c r="F19" s="1619"/>
      <c r="G19" s="771">
        <v>0</v>
      </c>
      <c r="H19" s="1619">
        <v>2253</v>
      </c>
      <c r="I19" s="771"/>
      <c r="J19" s="1619"/>
      <c r="K19" s="771"/>
      <c r="L19" s="1619"/>
      <c r="M19" s="771"/>
      <c r="N19" s="1619"/>
      <c r="O19" s="770">
        <f t="shared" si="1"/>
        <v>0</v>
      </c>
      <c r="P19" s="837">
        <f t="shared" si="1"/>
        <v>2253</v>
      </c>
    </row>
    <row r="20" spans="1:16" s="547" customFormat="1" ht="21" customHeight="1" x14ac:dyDescent="0.35">
      <c r="A20" s="631" t="s">
        <v>269</v>
      </c>
      <c r="B20" s="899" t="s">
        <v>268</v>
      </c>
      <c r="C20" s="772">
        <f t="shared" ref="C20" si="5">SUM(C14:C18)</f>
        <v>300</v>
      </c>
      <c r="D20" s="839">
        <f>SUM(D14:D18)</f>
        <v>0</v>
      </c>
      <c r="E20" s="772">
        <f t="shared" ref="E20" si="6">SUM(E14:E18)</f>
        <v>400</v>
      </c>
      <c r="F20" s="1620">
        <f>SUM(F14:F18)</f>
        <v>400</v>
      </c>
      <c r="G20" s="772">
        <f>SUM(G14:G19)</f>
        <v>20000</v>
      </c>
      <c r="H20" s="1620">
        <f>SUM(H14:H19)</f>
        <v>14753</v>
      </c>
      <c r="I20" s="772">
        <v>0</v>
      </c>
      <c r="J20" s="1620">
        <f>SUM(J14:J18)</f>
        <v>0</v>
      </c>
      <c r="K20" s="772">
        <f>SUM(K14:K18)</f>
        <v>0</v>
      </c>
      <c r="L20" s="1620">
        <f>SUM(L14:L18)</f>
        <v>0</v>
      </c>
      <c r="M20" s="772">
        <v>2010</v>
      </c>
      <c r="N20" s="1620">
        <v>2700</v>
      </c>
      <c r="O20" s="770">
        <f t="shared" si="0"/>
        <v>22710</v>
      </c>
      <c r="P20" s="837">
        <f t="shared" si="1"/>
        <v>17853</v>
      </c>
    </row>
    <row r="21" spans="1:16" s="547" customFormat="1" ht="21" customHeight="1" x14ac:dyDescent="0.35">
      <c r="A21" s="631" t="s">
        <v>831</v>
      </c>
      <c r="B21" s="899" t="s">
        <v>270</v>
      </c>
      <c r="C21" s="772">
        <v>0</v>
      </c>
      <c r="D21" s="839">
        <v>0</v>
      </c>
      <c r="E21" s="772">
        <v>0</v>
      </c>
      <c r="F21" s="1620"/>
      <c r="G21" s="772">
        <v>0</v>
      </c>
      <c r="H21" s="1620"/>
      <c r="I21" s="772">
        <v>0</v>
      </c>
      <c r="J21" s="1620"/>
      <c r="K21" s="772">
        <v>0</v>
      </c>
      <c r="L21" s="1620"/>
      <c r="M21" s="772">
        <v>3500</v>
      </c>
      <c r="N21" s="1620">
        <v>4500</v>
      </c>
      <c r="O21" s="770">
        <f t="shared" si="0"/>
        <v>3500</v>
      </c>
      <c r="P21" s="837">
        <f>D21+F21+H21+J21+L21+N21</f>
        <v>4500</v>
      </c>
    </row>
    <row r="22" spans="1:16" s="547" customFormat="1" ht="21" customHeight="1" x14ac:dyDescent="0.35">
      <c r="A22" s="631" t="s">
        <v>274</v>
      </c>
      <c r="B22" s="899" t="s">
        <v>917</v>
      </c>
      <c r="C22" s="770">
        <v>0</v>
      </c>
      <c r="D22" s="837">
        <v>0</v>
      </c>
      <c r="E22" s="770">
        <v>0</v>
      </c>
      <c r="F22" s="1618"/>
      <c r="G22" s="770">
        <v>0</v>
      </c>
      <c r="H22" s="1618"/>
      <c r="I22" s="770">
        <v>0</v>
      </c>
      <c r="J22" s="1618"/>
      <c r="K22" s="770">
        <v>3100</v>
      </c>
      <c r="L22" s="1618">
        <v>3787</v>
      </c>
      <c r="M22" s="770">
        <v>2500</v>
      </c>
      <c r="N22" s="1618"/>
      <c r="O22" s="770">
        <f t="shared" si="0"/>
        <v>5600</v>
      </c>
      <c r="P22" s="837">
        <f t="shared" si="1"/>
        <v>3787</v>
      </c>
    </row>
    <row r="23" spans="1:16" s="257" customFormat="1" ht="21" customHeight="1" x14ac:dyDescent="0.3">
      <c r="A23" s="632" t="s">
        <v>277</v>
      </c>
      <c r="B23" s="821" t="s">
        <v>276</v>
      </c>
      <c r="C23" s="770">
        <v>0</v>
      </c>
      <c r="D23" s="837">
        <v>0</v>
      </c>
      <c r="E23" s="770">
        <v>0</v>
      </c>
      <c r="F23" s="1618"/>
      <c r="G23" s="770">
        <v>0</v>
      </c>
      <c r="H23" s="1618"/>
      <c r="I23" s="770">
        <v>0</v>
      </c>
      <c r="J23" s="1618"/>
      <c r="K23" s="770">
        <v>0</v>
      </c>
      <c r="L23" s="1618"/>
      <c r="M23" s="770">
        <v>0</v>
      </c>
      <c r="N23" s="1618"/>
      <c r="O23" s="770">
        <f t="shared" si="0"/>
        <v>0</v>
      </c>
      <c r="P23" s="837">
        <f t="shared" si="1"/>
        <v>0</v>
      </c>
    </row>
    <row r="24" spans="1:16" s="257" customFormat="1" ht="21" customHeight="1" x14ac:dyDescent="0.3">
      <c r="A24" s="630" t="s">
        <v>279</v>
      </c>
      <c r="B24" s="898" t="s">
        <v>278</v>
      </c>
      <c r="C24" s="770">
        <f t="shared" ref="C24:L24" si="7">C13+C20+C21+C22+C23</f>
        <v>300</v>
      </c>
      <c r="D24" s="837">
        <f t="shared" si="7"/>
        <v>0</v>
      </c>
      <c r="E24" s="770">
        <f t="shared" si="7"/>
        <v>400</v>
      </c>
      <c r="F24" s="1618">
        <f t="shared" si="7"/>
        <v>400</v>
      </c>
      <c r="G24" s="770">
        <f t="shared" si="7"/>
        <v>26962</v>
      </c>
      <c r="H24" s="1618">
        <f>H13+H20+H21+H22+H23</f>
        <v>16753</v>
      </c>
      <c r="I24" s="770">
        <f t="shared" si="7"/>
        <v>0</v>
      </c>
      <c r="J24" s="1618">
        <f t="shared" si="7"/>
        <v>0</v>
      </c>
      <c r="K24" s="770">
        <f t="shared" si="7"/>
        <v>3100</v>
      </c>
      <c r="L24" s="1618">
        <f t="shared" si="7"/>
        <v>3787</v>
      </c>
      <c r="M24" s="770">
        <f>M13+M20++M21+M22+M23</f>
        <v>8010</v>
      </c>
      <c r="N24" s="1618">
        <f>N13+N20++N21+N22+N23</f>
        <v>7200</v>
      </c>
      <c r="O24" s="770">
        <f t="shared" si="0"/>
        <v>38772</v>
      </c>
      <c r="P24" s="837">
        <f>D24+F24+H24+J24+L24+N24</f>
        <v>28140</v>
      </c>
    </row>
    <row r="25" spans="1:16" s="257" customFormat="1" ht="17.399999999999999" x14ac:dyDescent="0.3">
      <c r="A25" s="634" t="s">
        <v>289</v>
      </c>
      <c r="B25" s="900" t="s">
        <v>288</v>
      </c>
      <c r="C25" s="773">
        <v>0</v>
      </c>
      <c r="D25" s="840">
        <f t="shared" ref="D25:F26" si="8">C25</f>
        <v>0</v>
      </c>
      <c r="E25" s="773">
        <f t="shared" si="8"/>
        <v>0</v>
      </c>
      <c r="F25" s="1621">
        <f t="shared" si="8"/>
        <v>0</v>
      </c>
      <c r="G25" s="773"/>
      <c r="H25" s="1621">
        <f>G25</f>
        <v>0</v>
      </c>
      <c r="I25" s="773">
        <v>0</v>
      </c>
      <c r="J25" s="1621">
        <f>I25</f>
        <v>0</v>
      </c>
      <c r="K25" s="773">
        <v>0</v>
      </c>
      <c r="L25" s="1621">
        <f>K25</f>
        <v>0</v>
      </c>
      <c r="M25" s="773">
        <v>0</v>
      </c>
      <c r="N25" s="1621">
        <v>0</v>
      </c>
      <c r="O25" s="773">
        <f t="shared" si="0"/>
        <v>0</v>
      </c>
      <c r="P25" s="840">
        <f>D25+F25+H25+J25+L25+N25</f>
        <v>0</v>
      </c>
    </row>
    <row r="26" spans="1:16" s="257" customFormat="1" ht="21" customHeight="1" x14ac:dyDescent="0.3">
      <c r="A26" s="634" t="s">
        <v>295</v>
      </c>
      <c r="B26" s="900" t="s">
        <v>294</v>
      </c>
      <c r="C26" s="773">
        <v>0</v>
      </c>
      <c r="D26" s="840">
        <f t="shared" si="8"/>
        <v>0</v>
      </c>
      <c r="E26" s="773">
        <f t="shared" si="8"/>
        <v>0</v>
      </c>
      <c r="F26" s="1621">
        <f t="shared" si="8"/>
        <v>0</v>
      </c>
      <c r="G26" s="773">
        <v>0</v>
      </c>
      <c r="H26" s="1621">
        <f>G26</f>
        <v>0</v>
      </c>
      <c r="I26" s="773">
        <v>0</v>
      </c>
      <c r="J26" s="1621">
        <f>I26</f>
        <v>0</v>
      </c>
      <c r="K26" s="773">
        <v>0</v>
      </c>
      <c r="L26" s="1621">
        <f>K26</f>
        <v>0</v>
      </c>
      <c r="M26" s="773">
        <v>0</v>
      </c>
      <c r="N26" s="1621">
        <v>0</v>
      </c>
      <c r="O26" s="773">
        <f t="shared" si="0"/>
        <v>0</v>
      </c>
      <c r="P26" s="840">
        <f>D26+F26+H26+J26+L26+N26</f>
        <v>0</v>
      </c>
    </row>
    <row r="27" spans="1:16" s="257" customFormat="1" ht="21" customHeight="1" x14ac:dyDescent="0.3">
      <c r="A27" s="635" t="s">
        <v>297</v>
      </c>
      <c r="B27" s="822" t="s">
        <v>296</v>
      </c>
      <c r="C27" s="527">
        <f t="shared" ref="C27:N27" si="9">C10+C11+C24+C25+C26</f>
        <v>300</v>
      </c>
      <c r="D27" s="528">
        <f t="shared" si="9"/>
        <v>0</v>
      </c>
      <c r="E27" s="527">
        <f t="shared" ref="E27" si="10">E10+E11+E24+E25+E26</f>
        <v>400</v>
      </c>
      <c r="F27" s="1622">
        <f t="shared" si="9"/>
        <v>400</v>
      </c>
      <c r="G27" s="527">
        <f t="shared" si="9"/>
        <v>26962</v>
      </c>
      <c r="H27" s="1622">
        <f t="shared" si="9"/>
        <v>16753</v>
      </c>
      <c r="I27" s="527">
        <f t="shared" si="9"/>
        <v>0</v>
      </c>
      <c r="J27" s="1622">
        <f t="shared" si="9"/>
        <v>0</v>
      </c>
      <c r="K27" s="527">
        <f t="shared" si="9"/>
        <v>3100</v>
      </c>
      <c r="L27" s="1622">
        <f t="shared" si="9"/>
        <v>3787</v>
      </c>
      <c r="M27" s="527">
        <f>M10+M11+M24+M25+M26</f>
        <v>350710</v>
      </c>
      <c r="N27" s="1622">
        <f t="shared" si="9"/>
        <v>384882</v>
      </c>
      <c r="O27" s="527">
        <f t="shared" si="0"/>
        <v>381472</v>
      </c>
      <c r="P27" s="528">
        <f>D27+F27+H27+J27+L27+N27</f>
        <v>405822</v>
      </c>
    </row>
    <row r="28" spans="1:16" ht="21" customHeight="1" x14ac:dyDescent="0.35">
      <c r="A28" s="636"/>
      <c r="B28" s="901" t="s">
        <v>298</v>
      </c>
      <c r="C28" s="774">
        <f t="shared" ref="C28:K28" si="11">C24+C25-C48</f>
        <v>-194829</v>
      </c>
      <c r="D28" s="841">
        <f>D24+D25-D48</f>
        <v>0</v>
      </c>
      <c r="E28" s="774">
        <f t="shared" si="11"/>
        <v>-240157</v>
      </c>
      <c r="F28" s="1623">
        <f>F24+F25-F48</f>
        <v>-462958</v>
      </c>
      <c r="G28" s="774">
        <f>G24+G25-G48</f>
        <v>-90794</v>
      </c>
      <c r="H28" s="1623">
        <f t="shared" si="11"/>
        <v>-127099</v>
      </c>
      <c r="I28" s="774">
        <f t="shared" si="11"/>
        <v>-33134</v>
      </c>
      <c r="J28" s="1623">
        <f t="shared" si="11"/>
        <v>-37588</v>
      </c>
      <c r="K28" s="774">
        <f t="shared" si="11"/>
        <v>-37063</v>
      </c>
      <c r="L28" s="1623">
        <f>L24+L25-L48</f>
        <v>-43778</v>
      </c>
      <c r="M28" s="774">
        <f>M27-M48</f>
        <v>0</v>
      </c>
      <c r="N28" s="1623">
        <f>N27-N48</f>
        <v>0</v>
      </c>
      <c r="O28" s="774">
        <f>O27-O48</f>
        <v>-595977</v>
      </c>
      <c r="P28" s="841">
        <f>P27-P48</f>
        <v>-671423</v>
      </c>
    </row>
    <row r="29" spans="1:16" ht="21" customHeight="1" x14ac:dyDescent="0.35">
      <c r="A29" s="636"/>
      <c r="B29" s="901" t="s">
        <v>299</v>
      </c>
      <c r="C29" s="774">
        <f t="shared" ref="C29:N29" si="12">C26-C52</f>
        <v>-762</v>
      </c>
      <c r="D29" s="841">
        <f>D26-D52</f>
        <v>0</v>
      </c>
      <c r="E29" s="774">
        <f t="shared" si="12"/>
        <v>-735</v>
      </c>
      <c r="F29" s="1623">
        <f>F26-F52</f>
        <v>-1497</v>
      </c>
      <c r="G29" s="774">
        <f t="shared" si="12"/>
        <v>-762</v>
      </c>
      <c r="H29" s="1623">
        <f t="shared" si="12"/>
        <v>-762</v>
      </c>
      <c r="I29" s="774">
        <f t="shared" si="12"/>
        <v>-409</v>
      </c>
      <c r="J29" s="1623">
        <f t="shared" si="12"/>
        <v>-409</v>
      </c>
      <c r="K29" s="774">
        <f t="shared" si="12"/>
        <v>-127</v>
      </c>
      <c r="L29" s="1623">
        <f t="shared" si="12"/>
        <v>-127</v>
      </c>
      <c r="M29" s="774">
        <f t="shared" si="12"/>
        <v>0</v>
      </c>
      <c r="N29" s="1623">
        <f t="shared" si="12"/>
        <v>0</v>
      </c>
      <c r="O29" s="774">
        <f>O26-O52</f>
        <v>-2795</v>
      </c>
      <c r="P29" s="841">
        <f>P26-P52</f>
        <v>-2795</v>
      </c>
    </row>
    <row r="30" spans="1:16" ht="43.8" customHeight="1" x14ac:dyDescent="0.35">
      <c r="A30" s="637" t="s">
        <v>305</v>
      </c>
      <c r="B30" s="820" t="s">
        <v>304</v>
      </c>
      <c r="C30" s="775">
        <v>0</v>
      </c>
      <c r="D30" s="842">
        <v>0</v>
      </c>
      <c r="E30" s="775">
        <v>0</v>
      </c>
      <c r="F30" s="1624">
        <v>0</v>
      </c>
      <c r="G30" s="775">
        <v>0</v>
      </c>
      <c r="H30" s="1624">
        <v>0</v>
      </c>
      <c r="I30" s="775">
        <v>0</v>
      </c>
      <c r="J30" s="1624"/>
      <c r="K30" s="775">
        <v>0</v>
      </c>
      <c r="L30" s="1624"/>
      <c r="M30" s="775">
        <v>0</v>
      </c>
      <c r="N30" s="1624">
        <v>0</v>
      </c>
      <c r="O30" s="775">
        <v>0</v>
      </c>
      <c r="P30" s="842">
        <v>0</v>
      </c>
    </row>
    <row r="31" spans="1:16" ht="36" x14ac:dyDescent="0.35">
      <c r="A31" s="637" t="s">
        <v>305</v>
      </c>
      <c r="B31" s="820" t="s">
        <v>306</v>
      </c>
      <c r="C31" s="775">
        <v>0</v>
      </c>
      <c r="D31" s="842">
        <v>0</v>
      </c>
      <c r="E31" s="775">
        <v>0</v>
      </c>
      <c r="F31" s="1624">
        <v>0</v>
      </c>
      <c r="G31" s="775">
        <v>0</v>
      </c>
      <c r="H31" s="1624">
        <v>0</v>
      </c>
      <c r="I31" s="775">
        <v>0</v>
      </c>
      <c r="J31" s="1624"/>
      <c r="K31" s="775">
        <v>0</v>
      </c>
      <c r="L31" s="1624"/>
      <c r="M31" s="775">
        <v>0</v>
      </c>
      <c r="N31" s="1624">
        <v>0</v>
      </c>
      <c r="O31" s="775">
        <v>0</v>
      </c>
      <c r="P31" s="842">
        <v>0</v>
      </c>
    </row>
    <row r="32" spans="1:16" s="257" customFormat="1" ht="21" customHeight="1" x14ac:dyDescent="0.3">
      <c r="A32" s="629" t="s">
        <v>308</v>
      </c>
      <c r="B32" s="821" t="s">
        <v>307</v>
      </c>
      <c r="C32" s="776">
        <f t="shared" ref="C32" si="13">SUM(C30:C31)</f>
        <v>0</v>
      </c>
      <c r="D32" s="843">
        <f t="shared" ref="D32:N32" si="14">SUM(D30:D31)</f>
        <v>0</v>
      </c>
      <c r="E32" s="776">
        <f t="shared" si="14"/>
        <v>0</v>
      </c>
      <c r="F32" s="1625">
        <f t="shared" si="14"/>
        <v>0</v>
      </c>
      <c r="G32" s="776">
        <f t="shared" si="14"/>
        <v>0</v>
      </c>
      <c r="H32" s="1625">
        <f t="shared" si="14"/>
        <v>0</v>
      </c>
      <c r="I32" s="776">
        <f t="shared" si="14"/>
        <v>0</v>
      </c>
      <c r="J32" s="1625">
        <f t="shared" si="14"/>
        <v>0</v>
      </c>
      <c r="K32" s="776">
        <f t="shared" ref="K32" si="15">SUM(K30:K31)</f>
        <v>0</v>
      </c>
      <c r="L32" s="1625">
        <f t="shared" si="14"/>
        <v>0</v>
      </c>
      <c r="M32" s="776">
        <f t="shared" si="14"/>
        <v>0</v>
      </c>
      <c r="N32" s="1625">
        <f t="shared" si="14"/>
        <v>0</v>
      </c>
      <c r="O32" s="776">
        <f>C32+E32+G32+I32+K32+M32</f>
        <v>0</v>
      </c>
      <c r="P32" s="843">
        <f>D32+F32+H32+J32+L32+N32</f>
        <v>0</v>
      </c>
    </row>
    <row r="33" spans="1:16" ht="21" customHeight="1" x14ac:dyDescent="0.35">
      <c r="A33" s="637" t="s">
        <v>310</v>
      </c>
      <c r="B33" s="868" t="s">
        <v>355</v>
      </c>
      <c r="C33" s="775">
        <f t="shared" ref="C33:G33" si="16">C53-C27-C32</f>
        <v>195591</v>
      </c>
      <c r="D33" s="842">
        <f t="shared" ref="D33:H33" si="17">D53-D27-D32</f>
        <v>0</v>
      </c>
      <c r="E33" s="775">
        <f t="shared" si="16"/>
        <v>240892</v>
      </c>
      <c r="F33" s="1624">
        <f>F53-F27-F32</f>
        <v>464455</v>
      </c>
      <c r="G33" s="775">
        <f t="shared" si="16"/>
        <v>91556</v>
      </c>
      <c r="H33" s="1624">
        <f t="shared" si="17"/>
        <v>127861</v>
      </c>
      <c r="I33" s="775">
        <f t="shared" ref="I33:N33" si="18">I53-I27-I32</f>
        <v>33543</v>
      </c>
      <c r="J33" s="1624">
        <f t="shared" si="18"/>
        <v>37997</v>
      </c>
      <c r="K33" s="775">
        <f t="shared" si="18"/>
        <v>37190</v>
      </c>
      <c r="L33" s="1624">
        <f t="shared" si="18"/>
        <v>43905</v>
      </c>
      <c r="M33" s="775">
        <f t="shared" si="18"/>
        <v>0</v>
      </c>
      <c r="N33" s="1624">
        <f t="shared" si="18"/>
        <v>0</v>
      </c>
      <c r="O33" s="775">
        <f>C33+E33+G33+I33+K33+M33</f>
        <v>598772</v>
      </c>
      <c r="P33" s="842">
        <f>D33+F33+H33+J33+L33+N32</f>
        <v>674218</v>
      </c>
    </row>
    <row r="34" spans="1:16" ht="21" customHeight="1" x14ac:dyDescent="0.35">
      <c r="A34" s="635" t="s">
        <v>318</v>
      </c>
      <c r="B34" s="822" t="s">
        <v>317</v>
      </c>
      <c r="C34" s="527">
        <f t="shared" ref="C34:L34" si="19">SUM(C32:C33)</f>
        <v>195591</v>
      </c>
      <c r="D34" s="528">
        <f t="shared" si="19"/>
        <v>0</v>
      </c>
      <c r="E34" s="527">
        <f t="shared" si="19"/>
        <v>240892</v>
      </c>
      <c r="F34" s="1622">
        <f t="shared" si="19"/>
        <v>464455</v>
      </c>
      <c r="G34" s="527">
        <f t="shared" si="19"/>
        <v>91556</v>
      </c>
      <c r="H34" s="1622">
        <f t="shared" si="19"/>
        <v>127861</v>
      </c>
      <c r="I34" s="527">
        <f t="shared" si="19"/>
        <v>33543</v>
      </c>
      <c r="J34" s="1622">
        <f t="shared" si="19"/>
        <v>37997</v>
      </c>
      <c r="K34" s="527">
        <f t="shared" si="19"/>
        <v>37190</v>
      </c>
      <c r="L34" s="1622">
        <f t="shared" si="19"/>
        <v>43905</v>
      </c>
      <c r="M34" s="527">
        <f t="shared" ref="M34:N34" si="20">SUM(M32:M33)</f>
        <v>0</v>
      </c>
      <c r="N34" s="1622">
        <f t="shared" si="20"/>
        <v>0</v>
      </c>
      <c r="O34" s="527">
        <f>C34+E34+G34+I34+K34+M34</f>
        <v>598772</v>
      </c>
      <c r="P34" s="528">
        <f>D34+F34+H34+J34+L34+N34</f>
        <v>674218</v>
      </c>
    </row>
    <row r="35" spans="1:16" ht="21" customHeight="1" x14ac:dyDescent="0.35">
      <c r="A35" s="768" t="s">
        <v>362</v>
      </c>
      <c r="B35" s="902" t="s">
        <v>46</v>
      </c>
      <c r="C35" s="777">
        <f t="shared" ref="C35:L35" si="21">C27+C34</f>
        <v>195891</v>
      </c>
      <c r="D35" s="844">
        <f t="shared" si="21"/>
        <v>0</v>
      </c>
      <c r="E35" s="777">
        <f t="shared" si="21"/>
        <v>241292</v>
      </c>
      <c r="F35" s="1626">
        <f t="shared" si="21"/>
        <v>464855</v>
      </c>
      <c r="G35" s="777">
        <f t="shared" si="21"/>
        <v>118518</v>
      </c>
      <c r="H35" s="1626">
        <f t="shared" si="21"/>
        <v>144614</v>
      </c>
      <c r="I35" s="777">
        <f t="shared" si="21"/>
        <v>33543</v>
      </c>
      <c r="J35" s="1626">
        <f t="shared" si="21"/>
        <v>37997</v>
      </c>
      <c r="K35" s="777">
        <f t="shared" si="21"/>
        <v>40290</v>
      </c>
      <c r="L35" s="1626">
        <f t="shared" si="21"/>
        <v>47692</v>
      </c>
      <c r="M35" s="777">
        <f t="shared" ref="M35:N35" si="22">M27+M34</f>
        <v>350710</v>
      </c>
      <c r="N35" s="1626">
        <f t="shared" si="22"/>
        <v>384882</v>
      </c>
      <c r="O35" s="777">
        <f>C35+E35+G35+I35+K35+M35</f>
        <v>980244</v>
      </c>
      <c r="P35" s="844">
        <f>D35+F35+H35+J35+L35+N35</f>
        <v>1080040</v>
      </c>
    </row>
    <row r="36" spans="1:16" ht="21" customHeight="1" x14ac:dyDescent="0.35">
      <c r="A36" s="625" t="s">
        <v>68</v>
      </c>
      <c r="B36" s="824" t="s">
        <v>167</v>
      </c>
      <c r="C36" s="771">
        <v>151252</v>
      </c>
      <c r="D36" s="838">
        <v>0</v>
      </c>
      <c r="E36" s="771">
        <v>183282</v>
      </c>
      <c r="F36" s="1619">
        <v>364703</v>
      </c>
      <c r="G36" s="771">
        <v>46865</v>
      </c>
      <c r="H36" s="1619">
        <v>53258</v>
      </c>
      <c r="I36" s="771">
        <v>26028</v>
      </c>
      <c r="J36" s="1619">
        <v>29970</v>
      </c>
      <c r="K36" s="771">
        <v>30739</v>
      </c>
      <c r="L36" s="1619">
        <v>37687</v>
      </c>
      <c r="M36" s="771">
        <v>163600</v>
      </c>
      <c r="N36" s="1619">
        <v>200103</v>
      </c>
      <c r="O36" s="770">
        <f>C36+E36+G36+I36+K36+M36</f>
        <v>601766</v>
      </c>
      <c r="P36" s="843">
        <f>D36+F36+H36+J36+L36+N36</f>
        <v>685721</v>
      </c>
    </row>
    <row r="37" spans="1:16" ht="21" hidden="1" customHeight="1" x14ac:dyDescent="0.35">
      <c r="A37" s="625" t="s">
        <v>69</v>
      </c>
      <c r="B37" s="824" t="s">
        <v>70</v>
      </c>
      <c r="C37" s="771">
        <v>0</v>
      </c>
      <c r="D37" s="838">
        <v>0</v>
      </c>
      <c r="E37" s="771">
        <v>0</v>
      </c>
      <c r="F37" s="1619">
        <v>0</v>
      </c>
      <c r="G37" s="771">
        <v>0</v>
      </c>
      <c r="H37" s="1619">
        <v>0</v>
      </c>
      <c r="I37" s="771">
        <v>0</v>
      </c>
      <c r="J37" s="1619">
        <v>0</v>
      </c>
      <c r="K37" s="771">
        <v>0</v>
      </c>
      <c r="L37" s="1619">
        <v>0</v>
      </c>
      <c r="M37" s="771"/>
      <c r="N37" s="1619"/>
      <c r="O37" s="770">
        <f t="shared" ref="O37" si="23">C37+E37+G37+I37+K37</f>
        <v>0</v>
      </c>
      <c r="P37" s="843">
        <f t="shared" ref="P37:P47" si="24">D37+F37+H37+J37+L37+N37</f>
        <v>0</v>
      </c>
    </row>
    <row r="38" spans="1:16" ht="21" customHeight="1" x14ac:dyDescent="0.35">
      <c r="A38" s="625" t="s">
        <v>63</v>
      </c>
      <c r="B38" s="824" t="s">
        <v>64</v>
      </c>
      <c r="C38" s="771">
        <v>0</v>
      </c>
      <c r="D38" s="838">
        <v>0</v>
      </c>
      <c r="E38" s="771">
        <v>0</v>
      </c>
      <c r="F38" s="1619"/>
      <c r="G38" s="771">
        <v>1250</v>
      </c>
      <c r="H38" s="1619">
        <v>1250</v>
      </c>
      <c r="I38" s="771">
        <v>0</v>
      </c>
      <c r="J38" s="1619"/>
      <c r="K38" s="771">
        <v>0</v>
      </c>
      <c r="L38" s="1619"/>
      <c r="M38" s="771">
        <v>300</v>
      </c>
      <c r="N38" s="1619"/>
      <c r="O38" s="770">
        <f t="shared" ref="O38:O53" si="25">C38+E38+G38+I38+K38+M38</f>
        <v>1550</v>
      </c>
      <c r="P38" s="843">
        <f t="shared" si="24"/>
        <v>1250</v>
      </c>
    </row>
    <row r="39" spans="1:16" s="257" customFormat="1" ht="21" customHeight="1" x14ac:dyDescent="0.3">
      <c r="A39" s="626" t="s">
        <v>166</v>
      </c>
      <c r="B39" s="903" t="s">
        <v>167</v>
      </c>
      <c r="C39" s="770">
        <f t="shared" ref="C39" si="26">C36+C38</f>
        <v>151252</v>
      </c>
      <c r="D39" s="837">
        <f t="shared" ref="D39:N39" si="27">D36+D38</f>
        <v>0</v>
      </c>
      <c r="E39" s="770">
        <f t="shared" ref="E39" si="28">E36+E38</f>
        <v>183282</v>
      </c>
      <c r="F39" s="1618">
        <f t="shared" si="27"/>
        <v>364703</v>
      </c>
      <c r="G39" s="770">
        <f t="shared" ref="G39" si="29">G36+G38</f>
        <v>48115</v>
      </c>
      <c r="H39" s="1618">
        <f t="shared" si="27"/>
        <v>54508</v>
      </c>
      <c r="I39" s="770">
        <f t="shared" ref="I39" si="30">I36+I38</f>
        <v>26028</v>
      </c>
      <c r="J39" s="1618">
        <f t="shared" si="27"/>
        <v>29970</v>
      </c>
      <c r="K39" s="770">
        <f t="shared" ref="K39" si="31">K36+K38</f>
        <v>30739</v>
      </c>
      <c r="L39" s="1618">
        <f t="shared" si="27"/>
        <v>37687</v>
      </c>
      <c r="M39" s="770">
        <f t="shared" si="27"/>
        <v>163900</v>
      </c>
      <c r="N39" s="1618">
        <f t="shared" si="27"/>
        <v>200103</v>
      </c>
      <c r="O39" s="770">
        <f t="shared" si="25"/>
        <v>603316</v>
      </c>
      <c r="P39" s="843">
        <f t="shared" si="24"/>
        <v>686971</v>
      </c>
    </row>
    <row r="40" spans="1:16" s="257" customFormat="1" ht="21" customHeight="1" x14ac:dyDescent="0.3">
      <c r="A40" s="626" t="s">
        <v>168</v>
      </c>
      <c r="B40" s="821" t="s">
        <v>169</v>
      </c>
      <c r="C40" s="770">
        <v>27374</v>
      </c>
      <c r="D40" s="837">
        <v>0</v>
      </c>
      <c r="E40" s="770">
        <v>33480</v>
      </c>
      <c r="F40" s="1618">
        <v>58067</v>
      </c>
      <c r="G40" s="770">
        <v>9087</v>
      </c>
      <c r="H40" s="1618">
        <v>8484</v>
      </c>
      <c r="I40" s="770">
        <v>4661</v>
      </c>
      <c r="J40" s="1618">
        <v>4662</v>
      </c>
      <c r="K40" s="770">
        <v>5557</v>
      </c>
      <c r="L40" s="1618">
        <v>5908</v>
      </c>
      <c r="M40" s="770">
        <v>28350</v>
      </c>
      <c r="N40" s="1618">
        <v>29543</v>
      </c>
      <c r="O40" s="770">
        <f t="shared" si="25"/>
        <v>108509</v>
      </c>
      <c r="P40" s="843">
        <f t="shared" si="24"/>
        <v>106664</v>
      </c>
    </row>
    <row r="41" spans="1:16" s="257" customFormat="1" ht="21" customHeight="1" x14ac:dyDescent="0.3">
      <c r="A41" s="626" t="s">
        <v>170</v>
      </c>
      <c r="B41" s="821" t="s">
        <v>171</v>
      </c>
      <c r="C41" s="770">
        <v>16503</v>
      </c>
      <c r="D41" s="837">
        <v>0</v>
      </c>
      <c r="E41" s="770">
        <v>23795</v>
      </c>
      <c r="F41" s="1618">
        <v>40588</v>
      </c>
      <c r="G41" s="770">
        <v>60554</v>
      </c>
      <c r="H41" s="1618">
        <v>80860</v>
      </c>
      <c r="I41" s="770">
        <v>2445</v>
      </c>
      <c r="J41" s="1618">
        <v>2956</v>
      </c>
      <c r="K41" s="770">
        <v>3867</v>
      </c>
      <c r="L41" s="1618">
        <v>3970</v>
      </c>
      <c r="M41" s="770">
        <v>158460</v>
      </c>
      <c r="N41" s="1618">
        <v>155236</v>
      </c>
      <c r="O41" s="770">
        <f t="shared" si="25"/>
        <v>265624</v>
      </c>
      <c r="P41" s="843">
        <f t="shared" si="24"/>
        <v>283610</v>
      </c>
    </row>
    <row r="42" spans="1:16" ht="21" customHeight="1" x14ac:dyDescent="0.35">
      <c r="A42" s="625"/>
      <c r="B42" s="824" t="s">
        <v>630</v>
      </c>
      <c r="C42" s="771">
        <v>0</v>
      </c>
      <c r="D42" s="838">
        <v>0</v>
      </c>
      <c r="E42" s="1325">
        <v>0</v>
      </c>
      <c r="F42" s="1619"/>
      <c r="G42" s="771">
        <v>500</v>
      </c>
      <c r="H42" s="1619">
        <v>500</v>
      </c>
      <c r="I42" s="771">
        <v>0</v>
      </c>
      <c r="J42" s="1619"/>
      <c r="K42" s="771">
        <v>0</v>
      </c>
      <c r="L42" s="1619"/>
      <c r="M42" s="771">
        <v>0</v>
      </c>
      <c r="N42" s="1619"/>
      <c r="O42" s="770">
        <f t="shared" si="25"/>
        <v>500</v>
      </c>
      <c r="P42" s="843">
        <f t="shared" si="24"/>
        <v>500</v>
      </c>
    </row>
    <row r="43" spans="1:16" ht="21" customHeight="1" x14ac:dyDescent="0.35">
      <c r="A43" s="625"/>
      <c r="B43" s="824" t="s">
        <v>483</v>
      </c>
      <c r="C43" s="771">
        <v>0</v>
      </c>
      <c r="D43" s="838">
        <v>0</v>
      </c>
      <c r="E43" s="1325">
        <v>0</v>
      </c>
      <c r="F43" s="1619"/>
      <c r="G43" s="771">
        <v>21000</v>
      </c>
      <c r="H43" s="1619">
        <v>26000</v>
      </c>
      <c r="I43" s="771">
        <v>0</v>
      </c>
      <c r="J43" s="1619"/>
      <c r="K43" s="771">
        <v>0</v>
      </c>
      <c r="L43" s="1619"/>
      <c r="M43" s="771">
        <v>0</v>
      </c>
      <c r="N43" s="1619"/>
      <c r="O43" s="770">
        <f t="shared" si="25"/>
        <v>21000</v>
      </c>
      <c r="P43" s="843">
        <f t="shared" si="24"/>
        <v>26000</v>
      </c>
    </row>
    <row r="44" spans="1:16" ht="37.799999999999997" customHeight="1" x14ac:dyDescent="0.35">
      <c r="A44" s="625"/>
      <c r="B44" s="824" t="s">
        <v>484</v>
      </c>
      <c r="C44" s="771">
        <v>0</v>
      </c>
      <c r="D44" s="838">
        <v>0</v>
      </c>
      <c r="E44" s="1325">
        <v>0</v>
      </c>
      <c r="F44" s="1619"/>
      <c r="G44" s="771">
        <v>3300</v>
      </c>
      <c r="H44" s="1619">
        <v>3300</v>
      </c>
      <c r="I44" s="771">
        <v>0</v>
      </c>
      <c r="J44" s="1619"/>
      <c r="K44" s="771">
        <v>0</v>
      </c>
      <c r="L44" s="1619"/>
      <c r="M44" s="771">
        <v>0</v>
      </c>
      <c r="N44" s="1619"/>
      <c r="O44" s="770">
        <f t="shared" si="25"/>
        <v>3300</v>
      </c>
      <c r="P44" s="843">
        <f t="shared" si="24"/>
        <v>3300</v>
      </c>
    </row>
    <row r="45" spans="1:16" ht="21" customHeight="1" x14ac:dyDescent="0.35">
      <c r="A45" s="625"/>
      <c r="B45" s="824" t="s">
        <v>485</v>
      </c>
      <c r="C45" s="771">
        <v>0</v>
      </c>
      <c r="D45" s="838">
        <v>0</v>
      </c>
      <c r="E45" s="1325">
        <v>0</v>
      </c>
      <c r="F45" s="1619"/>
      <c r="G45" s="771">
        <v>8500</v>
      </c>
      <c r="H45" s="1619">
        <v>8500</v>
      </c>
      <c r="I45" s="771">
        <v>0</v>
      </c>
      <c r="J45" s="1619"/>
      <c r="K45" s="771">
        <v>0</v>
      </c>
      <c r="L45" s="1619"/>
      <c r="M45" s="771">
        <v>0</v>
      </c>
      <c r="N45" s="1619"/>
      <c r="O45" s="770">
        <f t="shared" si="25"/>
        <v>8500</v>
      </c>
      <c r="P45" s="843">
        <f t="shared" si="24"/>
        <v>8500</v>
      </c>
    </row>
    <row r="46" spans="1:16" ht="21" customHeight="1" x14ac:dyDescent="0.35">
      <c r="A46" s="625"/>
      <c r="B46" s="1563" t="s">
        <v>930</v>
      </c>
      <c r="C46" s="771">
        <v>0</v>
      </c>
      <c r="D46" s="838">
        <v>0</v>
      </c>
      <c r="E46" s="1325">
        <v>0</v>
      </c>
      <c r="F46" s="1619"/>
      <c r="G46" s="771">
        <v>0</v>
      </c>
      <c r="H46" s="1619">
        <v>17950</v>
      </c>
      <c r="I46" s="771"/>
      <c r="J46" s="1619"/>
      <c r="K46" s="771"/>
      <c r="L46" s="1619"/>
      <c r="M46" s="771"/>
      <c r="N46" s="1619"/>
      <c r="O46" s="770"/>
      <c r="P46" s="843">
        <f t="shared" si="24"/>
        <v>17950</v>
      </c>
    </row>
    <row r="47" spans="1:16" s="257" customFormat="1" ht="21" customHeight="1" x14ac:dyDescent="0.3">
      <c r="A47" s="626" t="s">
        <v>179</v>
      </c>
      <c r="B47" s="821" t="s">
        <v>180</v>
      </c>
      <c r="C47" s="770">
        <v>0</v>
      </c>
      <c r="D47" s="837">
        <v>0</v>
      </c>
      <c r="E47" s="1326">
        <v>0</v>
      </c>
      <c r="F47" s="1618"/>
      <c r="G47" s="770">
        <v>0</v>
      </c>
      <c r="H47" s="1618"/>
      <c r="I47" s="770">
        <v>0</v>
      </c>
      <c r="J47" s="1618"/>
      <c r="K47" s="770">
        <v>0</v>
      </c>
      <c r="L47" s="1618"/>
      <c r="M47" s="770">
        <v>0</v>
      </c>
      <c r="N47" s="1618"/>
      <c r="O47" s="770">
        <f t="shared" si="25"/>
        <v>0</v>
      </c>
      <c r="P47" s="843">
        <f t="shared" si="24"/>
        <v>0</v>
      </c>
    </row>
    <row r="48" spans="1:16" s="257" customFormat="1" ht="21" customHeight="1" x14ac:dyDescent="0.3">
      <c r="A48" s="635" t="s">
        <v>360</v>
      </c>
      <c r="B48" s="822" t="s">
        <v>202</v>
      </c>
      <c r="C48" s="527">
        <f>C39+C40+C41+C47</f>
        <v>195129</v>
      </c>
      <c r="D48" s="528">
        <f>D39+D40+D41+D47</f>
        <v>0</v>
      </c>
      <c r="E48" s="527">
        <f t="shared" ref="E48:K48" si="32">E39+E40+E41+E47</f>
        <v>240557</v>
      </c>
      <c r="F48" s="1622">
        <f>F39+F40+F41+F47</f>
        <v>463358</v>
      </c>
      <c r="G48" s="527">
        <f t="shared" si="32"/>
        <v>117756</v>
      </c>
      <c r="H48" s="1622">
        <f>H39+H40+H41+H47</f>
        <v>143852</v>
      </c>
      <c r="I48" s="527">
        <f t="shared" si="32"/>
        <v>33134</v>
      </c>
      <c r="J48" s="1622">
        <f>J39+J40+J41+J47</f>
        <v>37588</v>
      </c>
      <c r="K48" s="527">
        <f t="shared" si="32"/>
        <v>40163</v>
      </c>
      <c r="L48" s="1622">
        <f>L39+L40+L41+L47</f>
        <v>47565</v>
      </c>
      <c r="M48" s="527">
        <f>M39+M40+M41+M47</f>
        <v>350710</v>
      </c>
      <c r="N48" s="1622">
        <f>N39+N40+N41+N47</f>
        <v>384882</v>
      </c>
      <c r="O48" s="527">
        <f t="shared" si="25"/>
        <v>977449</v>
      </c>
      <c r="P48" s="528">
        <f t="shared" ref="P48:P53" si="33">D48+F48+H48+J48+L48+N48</f>
        <v>1077245</v>
      </c>
    </row>
    <row r="49" spans="1:16" s="257" customFormat="1" ht="21" customHeight="1" x14ac:dyDescent="0.3">
      <c r="A49" s="626" t="s">
        <v>181</v>
      </c>
      <c r="B49" s="904" t="s">
        <v>526</v>
      </c>
      <c r="C49" s="770">
        <v>762</v>
      </c>
      <c r="D49" s="837">
        <v>0</v>
      </c>
      <c r="E49" s="770">
        <v>735</v>
      </c>
      <c r="F49" s="1618">
        <v>1497</v>
      </c>
      <c r="G49" s="770">
        <v>762</v>
      </c>
      <c r="H49" s="1618">
        <v>762</v>
      </c>
      <c r="I49" s="770">
        <v>409</v>
      </c>
      <c r="J49" s="1618">
        <v>409</v>
      </c>
      <c r="K49" s="770">
        <v>127</v>
      </c>
      <c r="L49" s="1618">
        <v>127</v>
      </c>
      <c r="M49" s="770">
        <v>0</v>
      </c>
      <c r="N49" s="1618"/>
      <c r="O49" s="770">
        <f t="shared" si="25"/>
        <v>2795</v>
      </c>
      <c r="P49" s="837">
        <f t="shared" si="33"/>
        <v>2795</v>
      </c>
    </row>
    <row r="50" spans="1:16" s="257" customFormat="1" ht="21" customHeight="1" x14ac:dyDescent="0.3">
      <c r="A50" s="626" t="s">
        <v>182</v>
      </c>
      <c r="B50" s="821" t="s">
        <v>183</v>
      </c>
      <c r="C50" s="770">
        <v>0</v>
      </c>
      <c r="D50" s="837">
        <v>0</v>
      </c>
      <c r="E50" s="770">
        <v>0</v>
      </c>
      <c r="F50" s="1618"/>
      <c r="G50" s="770">
        <v>0</v>
      </c>
      <c r="H50" s="1618"/>
      <c r="I50" s="770">
        <v>0</v>
      </c>
      <c r="J50" s="1618"/>
      <c r="K50" s="770">
        <v>0</v>
      </c>
      <c r="L50" s="1618"/>
      <c r="M50" s="770">
        <v>0</v>
      </c>
      <c r="N50" s="1618"/>
      <c r="O50" s="770">
        <f t="shared" si="25"/>
        <v>0</v>
      </c>
      <c r="P50" s="837">
        <f t="shared" si="33"/>
        <v>0</v>
      </c>
    </row>
    <row r="51" spans="1:16" s="257" customFormat="1" ht="21" customHeight="1" x14ac:dyDescent="0.3">
      <c r="A51" s="626" t="s">
        <v>186</v>
      </c>
      <c r="B51" s="821" t="s">
        <v>187</v>
      </c>
      <c r="C51" s="770">
        <v>0</v>
      </c>
      <c r="D51" s="837">
        <v>0</v>
      </c>
      <c r="E51" s="770">
        <v>0</v>
      </c>
      <c r="F51" s="1618"/>
      <c r="G51" s="770">
        <v>0</v>
      </c>
      <c r="H51" s="1618"/>
      <c r="I51" s="770">
        <v>0</v>
      </c>
      <c r="J51" s="1618"/>
      <c r="K51" s="770">
        <v>0</v>
      </c>
      <c r="L51" s="1618"/>
      <c r="M51" s="770">
        <v>0</v>
      </c>
      <c r="N51" s="1618"/>
      <c r="O51" s="770">
        <f t="shared" si="25"/>
        <v>0</v>
      </c>
      <c r="P51" s="837">
        <f t="shared" si="33"/>
        <v>0</v>
      </c>
    </row>
    <row r="52" spans="1:16" ht="21" customHeight="1" x14ac:dyDescent="0.35">
      <c r="A52" s="635" t="s">
        <v>361</v>
      </c>
      <c r="B52" s="822" t="s">
        <v>203</v>
      </c>
      <c r="C52" s="527">
        <f t="shared" ref="C52" si="34">SUM(C49:C51)</f>
        <v>762</v>
      </c>
      <c r="D52" s="528">
        <f t="shared" ref="D52:N52" si="35">SUM(D49:D51)</f>
        <v>0</v>
      </c>
      <c r="E52" s="527">
        <f t="shared" si="35"/>
        <v>735</v>
      </c>
      <c r="F52" s="1622">
        <f t="shared" si="35"/>
        <v>1497</v>
      </c>
      <c r="G52" s="527">
        <f t="shared" si="35"/>
        <v>762</v>
      </c>
      <c r="H52" s="1622">
        <f t="shared" si="35"/>
        <v>762</v>
      </c>
      <c r="I52" s="527">
        <f t="shared" si="35"/>
        <v>409</v>
      </c>
      <c r="J52" s="1622">
        <f t="shared" si="35"/>
        <v>409</v>
      </c>
      <c r="K52" s="527">
        <f t="shared" si="35"/>
        <v>127</v>
      </c>
      <c r="L52" s="1622">
        <f t="shared" si="35"/>
        <v>127</v>
      </c>
      <c r="M52" s="527">
        <f t="shared" si="35"/>
        <v>0</v>
      </c>
      <c r="N52" s="1622">
        <f t="shared" si="35"/>
        <v>0</v>
      </c>
      <c r="O52" s="527">
        <f t="shared" si="25"/>
        <v>2795</v>
      </c>
      <c r="P52" s="528">
        <f t="shared" si="33"/>
        <v>2795</v>
      </c>
    </row>
    <row r="53" spans="1:16" ht="21" customHeight="1" thickBot="1" x14ac:dyDescent="0.4">
      <c r="A53" s="769" t="s">
        <v>188</v>
      </c>
      <c r="B53" s="905" t="s">
        <v>363</v>
      </c>
      <c r="C53" s="778">
        <f t="shared" ref="C53" si="36">C48+C52</f>
        <v>195891</v>
      </c>
      <c r="D53" s="845">
        <f t="shared" ref="D53:N53" si="37">D48+D52</f>
        <v>0</v>
      </c>
      <c r="E53" s="778">
        <f t="shared" si="37"/>
        <v>241292</v>
      </c>
      <c r="F53" s="1627">
        <f t="shared" si="37"/>
        <v>464855</v>
      </c>
      <c r="G53" s="778">
        <f t="shared" si="37"/>
        <v>118518</v>
      </c>
      <c r="H53" s="1627">
        <f t="shared" si="37"/>
        <v>144614</v>
      </c>
      <c r="I53" s="778">
        <f t="shared" si="37"/>
        <v>33543</v>
      </c>
      <c r="J53" s="1627">
        <f t="shared" si="37"/>
        <v>37997</v>
      </c>
      <c r="K53" s="778">
        <f t="shared" si="37"/>
        <v>40290</v>
      </c>
      <c r="L53" s="1627">
        <f t="shared" si="37"/>
        <v>47692</v>
      </c>
      <c r="M53" s="778">
        <f t="shared" si="37"/>
        <v>350710</v>
      </c>
      <c r="N53" s="1627">
        <f t="shared" si="37"/>
        <v>384882</v>
      </c>
      <c r="O53" s="778">
        <f t="shared" si="25"/>
        <v>980244</v>
      </c>
      <c r="P53" s="845">
        <f t="shared" si="33"/>
        <v>1080040</v>
      </c>
    </row>
    <row r="54" spans="1:16" hidden="1" x14ac:dyDescent="0.35">
      <c r="L54" s="575" t="s">
        <v>767</v>
      </c>
      <c r="O54" s="575">
        <v>603686</v>
      </c>
    </row>
    <row r="55" spans="1:16" hidden="1" x14ac:dyDescent="0.35">
      <c r="C55" s="576"/>
      <c r="D55" s="576"/>
      <c r="E55" s="576"/>
      <c r="F55" s="576"/>
      <c r="G55" s="576"/>
      <c r="H55" s="576"/>
      <c r="I55" s="576"/>
      <c r="J55" s="576"/>
      <c r="K55" s="576"/>
      <c r="L55" s="576" t="s">
        <v>768</v>
      </c>
      <c r="M55" s="576"/>
      <c r="N55" s="576"/>
      <c r="O55" s="576">
        <v>629448</v>
      </c>
      <c r="P55" s="576"/>
    </row>
    <row r="56" spans="1:16" hidden="1" x14ac:dyDescent="0.35">
      <c r="L56" s="575" t="s">
        <v>769</v>
      </c>
      <c r="O56" s="575">
        <v>1000000</v>
      </c>
    </row>
    <row r="57" spans="1:16" hidden="1" x14ac:dyDescent="0.35"/>
    <row r="58" spans="1:16" hidden="1" x14ac:dyDescent="0.35"/>
    <row r="59" spans="1:16" hidden="1" x14ac:dyDescent="0.35">
      <c r="H59" s="576"/>
    </row>
    <row r="60" spans="1:16" hidden="1" x14ac:dyDescent="0.35"/>
  </sheetData>
  <mergeCells count="3">
    <mergeCell ref="A1:P1"/>
    <mergeCell ref="A3:P3"/>
    <mergeCell ref="A5:P5"/>
  </mergeCells>
  <phoneticPr fontId="57" type="noConversion"/>
  <hyperlinks>
    <hyperlink ref="Q1" location="Munka1!A1" display="Munka1!A1" xr:uid="{00000000-0004-0000-0500-000000000000}"/>
  </hyperlinks>
  <printOptions horizontalCentered="1"/>
  <pageMargins left="0.15748031496062992" right="0.23622047244094491" top="0.27559055118110237" bottom="0.35433070866141736" header="0.31496062992125984" footer="0.31496062992125984"/>
  <pageSetup paperSize="8" scale="65" fitToWidth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6">
    <tabColor rgb="FF92D050"/>
    <pageSetUpPr fitToPage="1"/>
  </sheetPr>
  <dimension ref="A1:G78"/>
  <sheetViews>
    <sheetView tabSelected="1" view="pageBreakPreview" zoomScaleNormal="85" zoomScaleSheetLayoutView="100" workbookViewId="0">
      <selection activeCell="B14" sqref="B14"/>
    </sheetView>
  </sheetViews>
  <sheetFormatPr defaultColWidth="9.109375" defaultRowHeight="15" customHeight="1" x14ac:dyDescent="0.25"/>
  <cols>
    <col min="1" max="1" width="13.44140625" style="86" bestFit="1" customWidth="1"/>
    <col min="2" max="2" width="104.109375" style="86" customWidth="1"/>
    <col min="3" max="3" width="13.5546875" style="86" customWidth="1"/>
    <col min="4" max="4" width="12.5546875" style="86" customWidth="1"/>
    <col min="5" max="5" width="14.33203125" style="86" customWidth="1"/>
    <col min="6" max="6" width="15" style="86" customWidth="1"/>
    <col min="7" max="7" width="11.44140625" style="86" hidden="1" customWidth="1"/>
    <col min="8" max="9" width="0" style="86" hidden="1" customWidth="1"/>
    <col min="10" max="16384" width="9.109375" style="86"/>
  </cols>
  <sheetData>
    <row r="1" spans="1:7" ht="17.399999999999999" x14ac:dyDescent="0.3">
      <c r="A1" s="1841" t="str">
        <f>'3. Gesz költségvetés'!A1:L1</f>
        <v>Pilisvörösvár Város Önkormányzata Képviselő-testületének 1/2021. (II. 15.) önkormányzati rendelete</v>
      </c>
      <c r="B1" s="1841"/>
      <c r="C1" s="1841"/>
      <c r="D1" s="1841"/>
      <c r="E1" s="1841"/>
      <c r="F1" s="1841"/>
    </row>
    <row r="2" spans="1:7" ht="17.399999999999999" x14ac:dyDescent="0.3">
      <c r="A2" s="1841" t="str">
        <f>'3. Gesz költségvetés'!A3:L3</f>
        <v>az Önkormányzat  2021. évi költségvetéséről</v>
      </c>
      <c r="B2" s="1841"/>
      <c r="C2" s="1841"/>
      <c r="D2" s="1841"/>
      <c r="E2" s="1841"/>
      <c r="F2" s="1841"/>
    </row>
    <row r="3" spans="1:7" ht="24" customHeight="1" x14ac:dyDescent="0.3">
      <c r="A3" s="1842" t="str">
        <f>Tartalomjegyzék_2021!B11</f>
        <v>Pilisvörösvár Város Önkormányzata költségvetése kötelező és önként vállalt feladat szerinti bontásban</v>
      </c>
      <c r="B3" s="1842"/>
      <c r="C3" s="1842"/>
      <c r="D3" s="1842"/>
      <c r="E3" s="1842"/>
      <c r="F3" s="1842"/>
    </row>
    <row r="4" spans="1:7" ht="15" customHeight="1" x14ac:dyDescent="0.25">
      <c r="F4" s="271" t="s">
        <v>13</v>
      </c>
    </row>
    <row r="5" spans="1:7" ht="15" customHeight="1" thickBot="1" x14ac:dyDescent="0.4">
      <c r="F5" s="272" t="s">
        <v>201</v>
      </c>
    </row>
    <row r="6" spans="1:7" ht="38.25" customHeight="1" x14ac:dyDescent="0.25">
      <c r="A6" s="1834" t="s">
        <v>242</v>
      </c>
      <c r="B6" s="1836" t="s">
        <v>553</v>
      </c>
      <c r="C6" s="1836" t="s">
        <v>822</v>
      </c>
      <c r="D6" s="1838" t="s">
        <v>823</v>
      </c>
      <c r="E6" s="1839"/>
      <c r="F6" s="1840"/>
    </row>
    <row r="7" spans="1:7" ht="57.75" customHeight="1" x14ac:dyDescent="0.25">
      <c r="A7" s="1835"/>
      <c r="B7" s="1837"/>
      <c r="C7" s="1837"/>
      <c r="D7" s="917" t="s">
        <v>117</v>
      </c>
      <c r="E7" s="917" t="s">
        <v>118</v>
      </c>
      <c r="F7" s="939" t="s">
        <v>243</v>
      </c>
    </row>
    <row r="8" spans="1:7" ht="19.5" customHeight="1" x14ac:dyDescent="0.3">
      <c r="A8" s="102" t="s">
        <v>253</v>
      </c>
      <c r="B8" s="103" t="s">
        <v>252</v>
      </c>
      <c r="C8" s="112">
        <f>'2.Bevételek_részletes'!C8</f>
        <v>721131</v>
      </c>
      <c r="D8" s="112">
        <f>'2.Bevételek_részletes'!D8</f>
        <v>989084</v>
      </c>
      <c r="E8" s="112"/>
      <c r="F8" s="112">
        <f>SUM(D8:E8)</f>
        <v>989084</v>
      </c>
    </row>
    <row r="9" spans="1:7" ht="19.5" customHeight="1" x14ac:dyDescent="0.3">
      <c r="A9" s="102" t="s">
        <v>255</v>
      </c>
      <c r="B9" s="103" t="s">
        <v>254</v>
      </c>
      <c r="C9" s="112">
        <f>'2.Bevételek_részletes'!C9</f>
        <v>3577.7246875000001</v>
      </c>
      <c r="D9" s="112">
        <f>'2.Bevételek_részletes'!D9</f>
        <v>150000</v>
      </c>
      <c r="E9" s="112"/>
      <c r="F9" s="112">
        <f t="shared" ref="F9:F27" si="0">SUM(D9:E9)</f>
        <v>150000</v>
      </c>
    </row>
    <row r="10" spans="1:7" s="48" customFormat="1" ht="19.5" customHeight="1" x14ac:dyDescent="0.3">
      <c r="A10" s="108" t="s">
        <v>257</v>
      </c>
      <c r="B10" s="93" t="s">
        <v>256</v>
      </c>
      <c r="C10" s="136">
        <f>SUM(C8:C9)</f>
        <v>724708.72468750004</v>
      </c>
      <c r="D10" s="136">
        <f>SUM(D8:D9)</f>
        <v>1139084</v>
      </c>
      <c r="E10" s="136">
        <f>SUM(E8:E9)</f>
        <v>0</v>
      </c>
      <c r="F10" s="136">
        <f t="shared" si="0"/>
        <v>1139084</v>
      </c>
    </row>
    <row r="11" spans="1:7" s="48" customFormat="1" ht="19.5" customHeight="1" x14ac:dyDescent="0.3">
      <c r="A11" s="108" t="s">
        <v>261</v>
      </c>
      <c r="B11" s="93" t="s">
        <v>260</v>
      </c>
      <c r="C11" s="136">
        <f>'2.Bevételek_részletes'!C11</f>
        <v>0</v>
      </c>
      <c r="D11" s="136">
        <f>'2.Bevételek_részletes'!D11</f>
        <v>0</v>
      </c>
      <c r="E11" s="136">
        <v>0</v>
      </c>
      <c r="F11" s="136">
        <f t="shared" si="0"/>
        <v>0</v>
      </c>
    </row>
    <row r="12" spans="1:7" s="48" customFormat="1" ht="19.5" customHeight="1" x14ac:dyDescent="0.3">
      <c r="A12" s="450" t="s">
        <v>113</v>
      </c>
      <c r="B12" s="451" t="s">
        <v>123</v>
      </c>
      <c r="C12" s="112">
        <f>'2.Bevételek_részletes'!C13</f>
        <v>82000</v>
      </c>
      <c r="D12" s="112">
        <f>'2.Bevételek_részletes'!D13</f>
        <v>82000</v>
      </c>
      <c r="E12" s="112"/>
      <c r="F12" s="112">
        <f t="shared" si="0"/>
        <v>82000</v>
      </c>
    </row>
    <row r="13" spans="1:7" ht="19.5" customHeight="1" x14ac:dyDescent="0.3">
      <c r="A13" s="102" t="s">
        <v>82</v>
      </c>
      <c r="B13" s="103" t="s">
        <v>122</v>
      </c>
      <c r="C13" s="112">
        <f>'2.Bevételek_részletes'!C14</f>
        <v>674090</v>
      </c>
      <c r="D13" s="112">
        <f>'2.Bevételek_részletes'!D14</f>
        <v>489135</v>
      </c>
      <c r="E13" s="112"/>
      <c r="F13" s="112">
        <f t="shared" si="0"/>
        <v>489135</v>
      </c>
    </row>
    <row r="14" spans="1:7" ht="19.5" customHeight="1" x14ac:dyDescent="0.3">
      <c r="A14" s="102" t="s">
        <v>263</v>
      </c>
      <c r="B14" s="103" t="s">
        <v>119</v>
      </c>
      <c r="C14" s="112">
        <f>'2.Bevételek_részletes'!C15</f>
        <v>2560</v>
      </c>
      <c r="D14" s="112">
        <f>'2.Bevételek_részletes'!D15</f>
        <v>2500</v>
      </c>
      <c r="E14" s="112"/>
      <c r="F14" s="112">
        <f t="shared" si="0"/>
        <v>2500</v>
      </c>
      <c r="G14" s="449"/>
    </row>
    <row r="15" spans="1:7" s="48" customFormat="1" ht="19.5" customHeight="1" x14ac:dyDescent="0.3">
      <c r="A15" s="108" t="s">
        <v>265</v>
      </c>
      <c r="B15" s="93" t="s">
        <v>264</v>
      </c>
      <c r="C15" s="136">
        <f>SUM(C12:C14)-0.4</f>
        <v>758649.6</v>
      </c>
      <c r="D15" s="136">
        <f>SUM(D12:D14)</f>
        <v>573635</v>
      </c>
      <c r="E15" s="136">
        <f>SUM(E12:E14)</f>
        <v>0</v>
      </c>
      <c r="F15" s="136">
        <f t="shared" si="0"/>
        <v>573635</v>
      </c>
    </row>
    <row r="16" spans="1:7" s="48" customFormat="1" ht="19.5" customHeight="1" x14ac:dyDescent="0.3">
      <c r="A16" s="102" t="s">
        <v>90</v>
      </c>
      <c r="B16" s="95" t="s">
        <v>266</v>
      </c>
      <c r="C16" s="112">
        <f>'2.Bevételek_részletes'!C17</f>
        <v>3614.5095504599999</v>
      </c>
      <c r="D16" s="112">
        <f>'2.Bevételek_részletes'!D17-E16</f>
        <v>0</v>
      </c>
      <c r="E16" s="112">
        <f>'2.Bevételek_részletes'!D17</f>
        <v>2851</v>
      </c>
      <c r="F16" s="112">
        <f t="shared" si="0"/>
        <v>2851</v>
      </c>
    </row>
    <row r="17" spans="1:6" s="48" customFormat="1" ht="19.5" customHeight="1" x14ac:dyDescent="0.3">
      <c r="A17" s="102" t="s">
        <v>89</v>
      </c>
      <c r="B17" s="103" t="s">
        <v>92</v>
      </c>
      <c r="C17" s="112">
        <f>'2.Bevételek_részletes'!C18</f>
        <v>61296.392449999999</v>
      </c>
      <c r="D17" s="112">
        <f>'2.Bevételek_részletes'!D18</f>
        <v>52646</v>
      </c>
      <c r="E17" s="112"/>
      <c r="F17" s="112">
        <f t="shared" si="0"/>
        <v>52646</v>
      </c>
    </row>
    <row r="18" spans="1:6" s="48" customFormat="1" ht="19.5" customHeight="1" x14ac:dyDescent="0.3">
      <c r="A18" s="102" t="s">
        <v>88</v>
      </c>
      <c r="B18" s="103" t="s">
        <v>84</v>
      </c>
      <c r="C18" s="112">
        <f>'2.Bevételek_részletes'!C19</f>
        <v>11191.2878</v>
      </c>
      <c r="D18" s="112">
        <f>'2.Bevételek_részletes'!D19</f>
        <v>10701</v>
      </c>
      <c r="E18" s="112"/>
      <c r="F18" s="112">
        <f t="shared" si="0"/>
        <v>10701</v>
      </c>
    </row>
    <row r="19" spans="1:6" s="48" customFormat="1" ht="19.5" customHeight="1" x14ac:dyDescent="0.3">
      <c r="A19" s="102" t="s">
        <v>272</v>
      </c>
      <c r="B19" s="103" t="s">
        <v>271</v>
      </c>
      <c r="C19" s="112">
        <f>'2.Bevételek_részletes'!C20</f>
        <v>81610</v>
      </c>
      <c r="D19" s="112">
        <f>'2.Bevételek_részletes'!D20</f>
        <v>6509</v>
      </c>
      <c r="E19" s="112"/>
      <c r="F19" s="112">
        <f t="shared" si="0"/>
        <v>6509</v>
      </c>
    </row>
    <row r="20" spans="1:6" s="48" customFormat="1" ht="19.5" customHeight="1" x14ac:dyDescent="0.3">
      <c r="A20" s="102" t="s">
        <v>274</v>
      </c>
      <c r="B20" s="103" t="s">
        <v>273</v>
      </c>
      <c r="C20" s="112">
        <f>'2.Bevételek_részletes'!C21</f>
        <v>0</v>
      </c>
      <c r="D20" s="112">
        <f>'2.Bevételek_részletes'!D21</f>
        <v>0</v>
      </c>
      <c r="E20" s="112"/>
      <c r="F20" s="112">
        <f t="shared" si="0"/>
        <v>0</v>
      </c>
    </row>
    <row r="21" spans="1:6" s="48" customFormat="1" ht="19.5" customHeight="1" x14ac:dyDescent="0.3">
      <c r="A21" s="102" t="s">
        <v>277</v>
      </c>
      <c r="B21" s="103" t="s">
        <v>276</v>
      </c>
      <c r="C21" s="112">
        <f>'2.Bevételek_részletes'!C22</f>
        <v>40</v>
      </c>
      <c r="D21" s="112">
        <f>'2.Bevételek_részletes'!D22</f>
        <v>0</v>
      </c>
      <c r="E21" s="112"/>
      <c r="F21" s="112">
        <f t="shared" si="0"/>
        <v>0</v>
      </c>
    </row>
    <row r="22" spans="1:6" s="48" customFormat="1" ht="19.5" customHeight="1" x14ac:dyDescent="0.3">
      <c r="A22" s="108" t="s">
        <v>279</v>
      </c>
      <c r="B22" s="94" t="s">
        <v>278</v>
      </c>
      <c r="C22" s="136">
        <f>SUM(C16:C21)</f>
        <v>157752.18980046001</v>
      </c>
      <c r="D22" s="136">
        <f>SUM(D16:D21)</f>
        <v>69856</v>
      </c>
      <c r="E22" s="136">
        <f>SUM(E16:E21)</f>
        <v>2851</v>
      </c>
      <c r="F22" s="136">
        <f>SUM(D22:E22)</f>
        <v>72707</v>
      </c>
    </row>
    <row r="23" spans="1:6" s="48" customFormat="1" ht="19.5" customHeight="1" x14ac:dyDescent="0.3">
      <c r="A23" s="108" t="s">
        <v>285</v>
      </c>
      <c r="B23" s="93" t="s">
        <v>284</v>
      </c>
      <c r="C23" s="136">
        <f>+'2.Bevételek_részletes'!C27</f>
        <v>13200.856</v>
      </c>
      <c r="D23" s="136">
        <f>+'2.Bevételek_részletes'!D27</f>
        <v>58399</v>
      </c>
      <c r="E23" s="136"/>
      <c r="F23" s="136">
        <f>SUM(D23:E23)</f>
        <v>58399</v>
      </c>
    </row>
    <row r="24" spans="1:6" s="48" customFormat="1" ht="19.5" customHeight="1" x14ac:dyDescent="0.3">
      <c r="A24" s="108" t="s">
        <v>289</v>
      </c>
      <c r="B24" s="93" t="s">
        <v>288</v>
      </c>
      <c r="C24" s="136">
        <f>+'2.Bevételek_részletes'!C29</f>
        <v>0</v>
      </c>
      <c r="D24" s="136">
        <f>+'2.Bevételek_részletes'!D29</f>
        <v>0</v>
      </c>
      <c r="E24" s="136"/>
      <c r="F24" s="136">
        <f t="shared" si="0"/>
        <v>0</v>
      </c>
    </row>
    <row r="25" spans="1:6" s="48" customFormat="1" ht="19.5" customHeight="1" x14ac:dyDescent="0.3">
      <c r="A25" s="102" t="s">
        <v>622</v>
      </c>
      <c r="B25" s="103" t="s">
        <v>290</v>
      </c>
      <c r="C25" s="112">
        <f>+'2.Bevételek_részletes'!C30</f>
        <v>112</v>
      </c>
      <c r="D25" s="112">
        <f>+'2.Bevételek_részletes'!D30</f>
        <v>0</v>
      </c>
      <c r="E25" s="112"/>
      <c r="F25" s="112">
        <f t="shared" si="0"/>
        <v>0</v>
      </c>
    </row>
    <row r="26" spans="1:6" s="48" customFormat="1" ht="19.5" customHeight="1" x14ac:dyDescent="0.3">
      <c r="A26" s="102" t="s">
        <v>566</v>
      </c>
      <c r="B26" s="95" t="s">
        <v>292</v>
      </c>
      <c r="C26" s="112">
        <f>+'2.Bevételek_részletes'!C31</f>
        <v>0</v>
      </c>
      <c r="D26" s="112">
        <f>+'2.Bevételek_részletes'!D31</f>
        <v>0</v>
      </c>
      <c r="E26" s="112"/>
      <c r="F26" s="112">
        <f t="shared" si="0"/>
        <v>0</v>
      </c>
    </row>
    <row r="27" spans="1:6" s="48" customFormat="1" ht="19.5" customHeight="1" x14ac:dyDescent="0.3">
      <c r="A27" s="108" t="s">
        <v>295</v>
      </c>
      <c r="B27" s="93" t="s">
        <v>294</v>
      </c>
      <c r="C27" s="136">
        <f>SUM(C25:C26)</f>
        <v>112</v>
      </c>
      <c r="D27" s="136">
        <f>SUM(D25:D26)</f>
        <v>0</v>
      </c>
      <c r="E27" s="136"/>
      <c r="F27" s="136">
        <f t="shared" si="0"/>
        <v>0</v>
      </c>
    </row>
    <row r="28" spans="1:6" s="48" customFormat="1" ht="19.5" customHeight="1" x14ac:dyDescent="0.3">
      <c r="A28" s="114"/>
      <c r="B28" s="115" t="s">
        <v>71</v>
      </c>
      <c r="C28" s="116">
        <f>SUM(C10,C15,C22,C24)</f>
        <v>1641110.5144879599</v>
      </c>
      <c r="D28" s="116">
        <f>SUM(D10,D15,D22,D24)</f>
        <v>1782575</v>
      </c>
      <c r="E28" s="116">
        <f>SUM(E10,E15,E22,E24)</f>
        <v>2851</v>
      </c>
      <c r="F28" s="117">
        <f>SUM(D28:E28)</f>
        <v>1785426</v>
      </c>
    </row>
    <row r="29" spans="1:6" s="48" customFormat="1" ht="19.5" customHeight="1" x14ac:dyDescent="0.3">
      <c r="A29" s="114"/>
      <c r="B29" s="115" t="s">
        <v>72</v>
      </c>
      <c r="C29" s="116">
        <f>SUM(C11,C23,C27)</f>
        <v>13312.856</v>
      </c>
      <c r="D29" s="116">
        <f>SUM(D11,D23,D27)</f>
        <v>58399</v>
      </c>
      <c r="E29" s="116">
        <f>SUM(E11,E23,E27)</f>
        <v>0</v>
      </c>
      <c r="F29" s="117">
        <f>SUM(D29:E29)</f>
        <v>58399</v>
      </c>
    </row>
    <row r="30" spans="1:6" s="48" customFormat="1" ht="19.5" customHeight="1" x14ac:dyDescent="0.3">
      <c r="A30" s="105" t="s">
        <v>297</v>
      </c>
      <c r="B30" s="100" t="s">
        <v>296</v>
      </c>
      <c r="C30" s="109">
        <f>C28+C29+2</f>
        <v>1654425.3704879598</v>
      </c>
      <c r="D30" s="109">
        <f>D28+D29</f>
        <v>1840974</v>
      </c>
      <c r="E30" s="109">
        <f>SUM(E28:E29)</f>
        <v>2851</v>
      </c>
      <c r="F30" s="110">
        <f>SUM(D30:E30)</f>
        <v>1843825</v>
      </c>
    </row>
    <row r="31" spans="1:6" ht="19.5" customHeight="1" x14ac:dyDescent="0.3">
      <c r="A31" s="118"/>
      <c r="B31" s="119" t="s">
        <v>298</v>
      </c>
      <c r="C31" s="120">
        <f>C28-C63+1</f>
        <v>947839.89175795985</v>
      </c>
      <c r="D31" s="120">
        <f t="shared" ref="C31:E32" si="1">D28-D63</f>
        <v>1075909.1400000001</v>
      </c>
      <c r="E31" s="120">
        <f>E28-E63</f>
        <v>-781</v>
      </c>
      <c r="F31" s="121">
        <f>SUM(D31:E31)</f>
        <v>1075128.1400000001</v>
      </c>
    </row>
    <row r="32" spans="1:6" ht="19.5" customHeight="1" x14ac:dyDescent="0.3">
      <c r="A32" s="118"/>
      <c r="B32" s="119" t="s">
        <v>299</v>
      </c>
      <c r="C32" s="120">
        <f t="shared" si="1"/>
        <v>-283410.15800000005</v>
      </c>
      <c r="D32" s="120">
        <f t="shared" si="1"/>
        <v>41014</v>
      </c>
      <c r="E32" s="120">
        <f t="shared" si="1"/>
        <v>0</v>
      </c>
      <c r="F32" s="121">
        <f>SUM(D32:E32)</f>
        <v>41014</v>
      </c>
    </row>
    <row r="33" spans="1:7" ht="19.5" customHeight="1" x14ac:dyDescent="0.3">
      <c r="A33" s="107" t="s">
        <v>303</v>
      </c>
      <c r="B33" s="95" t="s">
        <v>302</v>
      </c>
      <c r="C33" s="112">
        <f>+'2.Bevételek_részletes'!C38</f>
        <v>0</v>
      </c>
      <c r="D33" s="112">
        <f>+'2.Bevételek_részletes'!D38</f>
        <v>0</v>
      </c>
      <c r="E33" s="112"/>
      <c r="F33" s="113">
        <v>0</v>
      </c>
    </row>
    <row r="34" spans="1:7" ht="19.5" customHeight="1" x14ac:dyDescent="0.3">
      <c r="A34" s="107" t="s">
        <v>472</v>
      </c>
      <c r="B34" s="95" t="s">
        <v>653</v>
      </c>
      <c r="C34" s="112">
        <f>+'2.Bevételek_részletes'!C39</f>
        <v>0</v>
      </c>
      <c r="D34" s="112">
        <f>+'2.Bevételek_részletes'!D39</f>
        <v>0</v>
      </c>
      <c r="E34" s="112"/>
      <c r="F34" s="113">
        <v>0</v>
      </c>
    </row>
    <row r="35" spans="1:7" ht="19.5" customHeight="1" x14ac:dyDescent="0.3">
      <c r="A35" s="107" t="s">
        <v>305</v>
      </c>
      <c r="B35" s="103" t="s">
        <v>304</v>
      </c>
      <c r="C35" s="112">
        <f>+'2.Bevételek_részletes'!C40</f>
        <v>463128</v>
      </c>
      <c r="D35" s="112">
        <f>+'2.Bevételek_részletes'!D40</f>
        <v>0</v>
      </c>
      <c r="E35" s="112"/>
      <c r="F35" s="113">
        <f>SUM(D35:E35)</f>
        <v>0</v>
      </c>
    </row>
    <row r="36" spans="1:7" ht="19.5" customHeight="1" x14ac:dyDescent="0.3">
      <c r="A36" s="107" t="s">
        <v>305</v>
      </c>
      <c r="B36" s="103" t="s">
        <v>981</v>
      </c>
      <c r="C36" s="112">
        <v>0</v>
      </c>
      <c r="D36" s="112">
        <f>'2.Bevételek_részletes'!D41</f>
        <v>0</v>
      </c>
      <c r="E36" s="112"/>
      <c r="F36" s="137">
        <f>SUM(D36:E36)</f>
        <v>0</v>
      </c>
    </row>
    <row r="37" spans="1:7" ht="19.5" customHeight="1" x14ac:dyDescent="0.3">
      <c r="A37" s="107" t="s">
        <v>308</v>
      </c>
      <c r="B37" s="103" t="s">
        <v>307</v>
      </c>
      <c r="C37" s="136">
        <f>SUM(C35:C35)</f>
        <v>463128</v>
      </c>
      <c r="D37" s="136">
        <f>SUM(D35:D36)</f>
        <v>0</v>
      </c>
      <c r="E37" s="136">
        <f>SUM(E35:E35)</f>
        <v>0</v>
      </c>
      <c r="F37" s="137">
        <f>SUM(D37:E37)</f>
        <v>0</v>
      </c>
    </row>
    <row r="38" spans="1:7" ht="19.5" customHeight="1" x14ac:dyDescent="0.3">
      <c r="A38" s="107" t="s">
        <v>310</v>
      </c>
      <c r="B38" s="103" t="s">
        <v>309</v>
      </c>
      <c r="C38" s="112"/>
      <c r="D38" s="112"/>
      <c r="E38" s="112"/>
      <c r="F38" s="113">
        <v>0</v>
      </c>
    </row>
    <row r="39" spans="1:7" s="48" customFormat="1" ht="19.5" customHeight="1" x14ac:dyDescent="0.3">
      <c r="A39" s="130" t="s">
        <v>318</v>
      </c>
      <c r="B39" s="129" t="s">
        <v>317</v>
      </c>
      <c r="C39" s="109">
        <f>C33+C37+C38+C34</f>
        <v>463128</v>
      </c>
      <c r="D39" s="109">
        <f>D33+D37+D38+D34</f>
        <v>0</v>
      </c>
      <c r="E39" s="109">
        <f>E33+E37+E38</f>
        <v>0</v>
      </c>
      <c r="F39" s="110">
        <f>SUM(D39:E39)</f>
        <v>0</v>
      </c>
    </row>
    <row r="40" spans="1:7" ht="19.5" customHeight="1" thickBot="1" x14ac:dyDescent="0.35">
      <c r="A40" s="140"/>
      <c r="B40" s="141" t="s">
        <v>234</v>
      </c>
      <c r="C40" s="144">
        <f>C30+C39</f>
        <v>2117553.3704879601</v>
      </c>
      <c r="D40" s="144">
        <f>D30+D39</f>
        <v>1840974</v>
      </c>
      <c r="E40" s="144">
        <f>E30+E39</f>
        <v>2851</v>
      </c>
      <c r="F40" s="145">
        <f>F30+F39+1</f>
        <v>1843826</v>
      </c>
      <c r="G40" s="449"/>
    </row>
    <row r="41" spans="1:7" ht="15" customHeight="1" thickBot="1" x14ac:dyDescent="0.35">
      <c r="A41" s="681"/>
      <c r="B41" s="681"/>
      <c r="C41" s="681"/>
      <c r="D41" s="681"/>
      <c r="E41" s="681"/>
      <c r="F41" s="681"/>
    </row>
    <row r="42" spans="1:7" ht="18" x14ac:dyDescent="0.25">
      <c r="A42" s="1834" t="s">
        <v>242</v>
      </c>
      <c r="B42" s="1836" t="s">
        <v>554</v>
      </c>
      <c r="C42" s="1836" t="s">
        <v>822</v>
      </c>
      <c r="D42" s="1838" t="s">
        <v>823</v>
      </c>
      <c r="E42" s="1839"/>
      <c r="F42" s="1840"/>
    </row>
    <row r="43" spans="1:7" ht="50.4" x14ac:dyDescent="0.25">
      <c r="A43" s="1835"/>
      <c r="B43" s="1837"/>
      <c r="C43" s="1837"/>
      <c r="D43" s="917" t="s">
        <v>117</v>
      </c>
      <c r="E43" s="917" t="s">
        <v>118</v>
      </c>
      <c r="F43" s="939" t="s">
        <v>243</v>
      </c>
    </row>
    <row r="44" spans="1:7" ht="19.5" customHeight="1" x14ac:dyDescent="0.3">
      <c r="A44" s="1390" t="s">
        <v>166</v>
      </c>
      <c r="B44" s="1393" t="s">
        <v>686</v>
      </c>
      <c r="C44" s="136">
        <f>+'2.Kiadások_részletes '!C11</f>
        <v>64423</v>
      </c>
      <c r="D44" s="136">
        <f>+'2.Kiadások_részletes '!D11-E44</f>
        <v>57678</v>
      </c>
      <c r="E44" s="136">
        <v>500</v>
      </c>
      <c r="F44" s="137">
        <f>SUM(D44:E44)</f>
        <v>58178</v>
      </c>
    </row>
    <row r="45" spans="1:7" s="1300" customFormat="1" ht="53.25" customHeight="1" x14ac:dyDescent="0.3">
      <c r="A45" s="91"/>
      <c r="B45" s="92" t="s">
        <v>713</v>
      </c>
      <c r="C45" s="1297">
        <f>'2.Kiadások_részletes '!C10-C46</f>
        <v>1400</v>
      </c>
      <c r="D45" s="1297">
        <f>'2.Kiadások_részletes '!D10-D46</f>
        <v>2300</v>
      </c>
      <c r="E45" s="1298"/>
      <c r="F45" s="1299"/>
    </row>
    <row r="46" spans="1:7" s="1300" customFormat="1" ht="27" customHeight="1" x14ac:dyDescent="0.3">
      <c r="A46" s="91"/>
      <c r="B46" s="92" t="s">
        <v>714</v>
      </c>
      <c r="C46" s="1297">
        <v>900</v>
      </c>
      <c r="D46" s="1297"/>
      <c r="E46" s="1298"/>
      <c r="F46" s="1299">
        <f t="shared" ref="F46" si="2">SUM(D46:E46)</f>
        <v>0</v>
      </c>
    </row>
    <row r="47" spans="1:7" ht="18.75" customHeight="1" x14ac:dyDescent="0.3">
      <c r="A47" s="1392" t="s">
        <v>63</v>
      </c>
      <c r="B47" s="103" t="s">
        <v>497</v>
      </c>
      <c r="C47" s="112">
        <f>SUM(C45:C46)</f>
        <v>2300</v>
      </c>
      <c r="D47" s="112">
        <f>SUM(D45:D46)</f>
        <v>2300</v>
      </c>
      <c r="E47" s="112"/>
      <c r="F47" s="113">
        <f t="shared" ref="F47:F68" si="3">SUM(D47:E47)</f>
        <v>2300</v>
      </c>
    </row>
    <row r="48" spans="1:7" ht="18.75" customHeight="1" x14ac:dyDescent="0.3">
      <c r="A48" s="1390" t="s">
        <v>168</v>
      </c>
      <c r="B48" s="93" t="s">
        <v>169</v>
      </c>
      <c r="C48" s="136">
        <f>+'2.Kiadások_részletes '!C12</f>
        <v>10984</v>
      </c>
      <c r="D48" s="136">
        <f>+'2.Kiadások_részletes '!D12-E48</f>
        <v>8967</v>
      </c>
      <c r="E48" s="136">
        <v>70</v>
      </c>
      <c r="F48" s="137">
        <f t="shared" si="3"/>
        <v>9037</v>
      </c>
    </row>
    <row r="49" spans="1:7" ht="18.75" customHeight="1" x14ac:dyDescent="0.3">
      <c r="A49" s="1390" t="s">
        <v>170</v>
      </c>
      <c r="B49" s="93" t="s">
        <v>171</v>
      </c>
      <c r="C49" s="136">
        <f>+'2.Kiadások_részletes '!C13</f>
        <v>231878.89173</v>
      </c>
      <c r="D49" s="136">
        <f>+'2.Kiadások_részletes '!D13-E49</f>
        <v>206576.86</v>
      </c>
      <c r="E49" s="136">
        <v>3062</v>
      </c>
      <c r="F49" s="137">
        <f t="shared" si="3"/>
        <v>209638.86</v>
      </c>
    </row>
    <row r="50" spans="1:7" ht="18.75" customHeight="1" x14ac:dyDescent="0.3">
      <c r="A50" s="1390" t="s">
        <v>172</v>
      </c>
      <c r="B50" s="94" t="s">
        <v>23</v>
      </c>
      <c r="C50" s="136">
        <f>+'2.Kiadások_részletes '!C14</f>
        <v>16432</v>
      </c>
      <c r="D50" s="136">
        <f>+'2.Kiadások_részletes '!D14</f>
        <v>16432</v>
      </c>
      <c r="E50" s="136"/>
      <c r="F50" s="137">
        <f t="shared" si="3"/>
        <v>16432</v>
      </c>
    </row>
    <row r="51" spans="1:7" ht="18.75" customHeight="1" x14ac:dyDescent="0.3">
      <c r="A51" s="91" t="s">
        <v>96</v>
      </c>
      <c r="B51" s="96" t="s">
        <v>97</v>
      </c>
      <c r="C51" s="112">
        <f>+'2.Kiadások_részletes '!C15</f>
        <v>679</v>
      </c>
      <c r="D51" s="112">
        <f>+'2.Kiadások_részletes '!D15</f>
        <v>110362</v>
      </c>
      <c r="E51" s="112"/>
      <c r="F51" s="113">
        <f t="shared" si="3"/>
        <v>110362</v>
      </c>
    </row>
    <row r="52" spans="1:7" ht="18.75" customHeight="1" x14ac:dyDescent="0.3">
      <c r="A52" s="91" t="s">
        <v>173</v>
      </c>
      <c r="B52" s="96" t="s">
        <v>174</v>
      </c>
      <c r="C52" s="112">
        <f>+'2.Kiadások_részletes '!C16</f>
        <v>169275.61199999999</v>
      </c>
      <c r="D52" s="112">
        <f>+'2.Kiadások_részletes '!D16</f>
        <v>179719</v>
      </c>
      <c r="E52" s="112"/>
      <c r="F52" s="113">
        <f t="shared" si="3"/>
        <v>179719</v>
      </c>
    </row>
    <row r="53" spans="1:7" ht="18.75" customHeight="1" x14ac:dyDescent="0.3">
      <c r="A53" s="91" t="s">
        <v>176</v>
      </c>
      <c r="B53" s="96" t="s">
        <v>175</v>
      </c>
      <c r="C53" s="112">
        <f>+'2.Kiadások_részletes '!C17</f>
        <v>17970</v>
      </c>
      <c r="D53" s="112">
        <f>+'2.Kiadások_részletes '!D17</f>
        <v>66430</v>
      </c>
      <c r="E53" s="112"/>
      <c r="F53" s="113">
        <f t="shared" si="3"/>
        <v>66430</v>
      </c>
    </row>
    <row r="54" spans="1:7" ht="18.75" customHeight="1" x14ac:dyDescent="0.3">
      <c r="A54" s="91" t="s">
        <v>544</v>
      </c>
      <c r="B54" s="97" t="s">
        <v>177</v>
      </c>
      <c r="C54" s="112">
        <f>+'21. Tartalékok (K512)'!C24</f>
        <v>14000</v>
      </c>
      <c r="D54" s="112">
        <f>+'21. Tartalékok (K512)'!D24</f>
        <v>15000</v>
      </c>
      <c r="E54" s="112"/>
      <c r="F54" s="113">
        <f t="shared" si="3"/>
        <v>15000</v>
      </c>
    </row>
    <row r="55" spans="1:7" ht="18.75" customHeight="1" x14ac:dyDescent="0.3">
      <c r="A55" s="91" t="s">
        <v>544</v>
      </c>
      <c r="B55" s="97" t="s">
        <v>121</v>
      </c>
      <c r="C55" s="112">
        <f>+'21. Tartalékok (K512)'!C23</f>
        <v>0</v>
      </c>
      <c r="D55" s="112">
        <f>+'21. Tartalékok (K512)'!D23</f>
        <v>0</v>
      </c>
      <c r="E55" s="112"/>
      <c r="F55" s="113">
        <f t="shared" si="3"/>
        <v>0</v>
      </c>
    </row>
    <row r="56" spans="1:7" ht="18.75" customHeight="1" x14ac:dyDescent="0.3">
      <c r="A56" s="91" t="s">
        <v>544</v>
      </c>
      <c r="B56" s="97" t="s">
        <v>178</v>
      </c>
      <c r="C56" s="112">
        <f>'21. Tartalékok (K512)'!C22</f>
        <v>167630.11900000001</v>
      </c>
      <c r="D56" s="112">
        <f>'21. Tartalékok (K512)'!D22</f>
        <v>45501</v>
      </c>
      <c r="E56" s="112"/>
      <c r="F56" s="113">
        <f t="shared" si="3"/>
        <v>45501</v>
      </c>
      <c r="G56" s="449"/>
    </row>
    <row r="57" spans="1:7" ht="18.75" customHeight="1" x14ac:dyDescent="0.3">
      <c r="A57" s="1390" t="s">
        <v>179</v>
      </c>
      <c r="B57" s="94" t="s">
        <v>180</v>
      </c>
      <c r="C57" s="136">
        <f>SUM(C51:C56)</f>
        <v>369554.73100000003</v>
      </c>
      <c r="D57" s="136">
        <f>SUM(D51:D56)</f>
        <v>417012</v>
      </c>
      <c r="E57" s="136"/>
      <c r="F57" s="137">
        <f t="shared" si="3"/>
        <v>417012</v>
      </c>
    </row>
    <row r="58" spans="1:7" ht="18.75" customHeight="1" x14ac:dyDescent="0.3">
      <c r="A58" s="1390" t="s">
        <v>181</v>
      </c>
      <c r="B58" s="1391" t="s">
        <v>321</v>
      </c>
      <c r="C58" s="136">
        <f>+'2.Kiadások_részletes '!C21</f>
        <v>283028.01400000002</v>
      </c>
      <c r="D58" s="136">
        <f>+'2.Kiadások_részletes '!D21</f>
        <v>17385</v>
      </c>
      <c r="E58" s="136"/>
      <c r="F58" s="137">
        <f t="shared" si="3"/>
        <v>17385</v>
      </c>
    </row>
    <row r="59" spans="1:7" ht="18.75" customHeight="1" x14ac:dyDescent="0.3">
      <c r="A59" s="1390" t="s">
        <v>182</v>
      </c>
      <c r="B59" s="94" t="s">
        <v>183</v>
      </c>
      <c r="C59" s="136">
        <f>+'2.Kiadások_részletes '!C22</f>
        <v>13695</v>
      </c>
      <c r="D59" s="136">
        <f>+'2.Kiadások_részletes '!D22</f>
        <v>0</v>
      </c>
      <c r="E59" s="136"/>
      <c r="F59" s="137">
        <f t="shared" si="3"/>
        <v>0</v>
      </c>
    </row>
    <row r="60" spans="1:7" ht="18.75" customHeight="1" x14ac:dyDescent="0.3">
      <c r="A60" s="91" t="s">
        <v>141</v>
      </c>
      <c r="B60" s="95" t="s">
        <v>120</v>
      </c>
      <c r="C60" s="112">
        <f>+'2.Kiadások_részletes '!C23</f>
        <v>0</v>
      </c>
      <c r="D60" s="112">
        <f>+'2.Kiadások_részletes '!D23</f>
        <v>0</v>
      </c>
      <c r="E60" s="112"/>
      <c r="F60" s="113">
        <f t="shared" si="3"/>
        <v>0</v>
      </c>
    </row>
    <row r="61" spans="1:7" ht="18.75" customHeight="1" x14ac:dyDescent="0.3">
      <c r="A61" s="91" t="s">
        <v>184</v>
      </c>
      <c r="B61" s="95" t="s">
        <v>185</v>
      </c>
      <c r="C61" s="112">
        <f>+'2.Kiadások_részletes '!C24</f>
        <v>0</v>
      </c>
      <c r="D61" s="112">
        <f>+'2.Kiadások_részletes '!D24</f>
        <v>0</v>
      </c>
      <c r="E61" s="112"/>
      <c r="F61" s="113">
        <f t="shared" si="3"/>
        <v>0</v>
      </c>
    </row>
    <row r="62" spans="1:7" ht="18.75" customHeight="1" x14ac:dyDescent="0.3">
      <c r="A62" s="1390" t="s">
        <v>186</v>
      </c>
      <c r="B62" s="94" t="s">
        <v>187</v>
      </c>
      <c r="C62" s="136">
        <f>SUM(C60:C61)</f>
        <v>0</v>
      </c>
      <c r="D62" s="136">
        <f>SUM(D60:D61)</f>
        <v>0</v>
      </c>
      <c r="E62" s="136">
        <f>SUM(E60:E61)</f>
        <v>0</v>
      </c>
      <c r="F62" s="137">
        <f t="shared" si="3"/>
        <v>0</v>
      </c>
    </row>
    <row r="63" spans="1:7" ht="18.75" customHeight="1" x14ac:dyDescent="0.3">
      <c r="A63" s="99"/>
      <c r="B63" s="124" t="s">
        <v>202</v>
      </c>
      <c r="C63" s="116">
        <f>SUM(C44,C48:C50,C57,)-1</f>
        <v>693271.62273000006</v>
      </c>
      <c r="D63" s="116">
        <f>SUM(D44,D48:D50,D57,)</f>
        <v>706665.86</v>
      </c>
      <c r="E63" s="116">
        <f t="shared" ref="E63:F63" si="4">SUM(E44,E48:E50,E57,)</f>
        <v>3632</v>
      </c>
      <c r="F63" s="116">
        <f t="shared" si="4"/>
        <v>710297.86</v>
      </c>
    </row>
    <row r="64" spans="1:7" ht="18.75" customHeight="1" x14ac:dyDescent="0.3">
      <c r="A64" s="99"/>
      <c r="B64" s="124" t="s">
        <v>203</v>
      </c>
      <c r="C64" s="116">
        <f>SUM(C58:C59,C62)</f>
        <v>296723.01400000002</v>
      </c>
      <c r="D64" s="116">
        <f>SUM(D58:D59,D62)</f>
        <v>17385</v>
      </c>
      <c r="E64" s="116">
        <v>0</v>
      </c>
      <c r="F64" s="117">
        <f>SUM(D64:E64)</f>
        <v>17385</v>
      </c>
    </row>
    <row r="65" spans="1:7" ht="18.75" customHeight="1" x14ac:dyDescent="0.3">
      <c r="A65" s="105" t="s">
        <v>188</v>
      </c>
      <c r="B65" s="100" t="s">
        <v>189</v>
      </c>
      <c r="C65" s="109">
        <f>C63+C64</f>
        <v>989994.63673000014</v>
      </c>
      <c r="D65" s="109">
        <f>D63+D64</f>
        <v>724050.86</v>
      </c>
      <c r="E65" s="109">
        <f>SUM(E63:E64)</f>
        <v>3632</v>
      </c>
      <c r="F65" s="110">
        <f>SUM(D65:E65)</f>
        <v>727682.86</v>
      </c>
    </row>
    <row r="66" spans="1:7" ht="18.75" customHeight="1" x14ac:dyDescent="0.25">
      <c r="A66" s="107" t="s">
        <v>190</v>
      </c>
      <c r="B66" s="95" t="s">
        <v>142</v>
      </c>
      <c r="C66" s="101">
        <f>+'2.Kiadások_részletes '!C30</f>
        <v>1320</v>
      </c>
      <c r="D66" s="101">
        <f>+'2.Kiadások_részletes '!D30</f>
        <v>1320</v>
      </c>
      <c r="E66" s="101"/>
      <c r="F66" s="125">
        <f t="shared" si="3"/>
        <v>1320</v>
      </c>
    </row>
    <row r="67" spans="1:7" ht="18.75" customHeight="1" x14ac:dyDescent="0.25">
      <c r="A67" s="107" t="s">
        <v>514</v>
      </c>
      <c r="B67" s="95" t="s">
        <v>571</v>
      </c>
      <c r="C67" s="126">
        <f>+'2.Kiadások_részletes '!C32</f>
        <v>28845</v>
      </c>
      <c r="D67" s="126">
        <f>+'2.Kiadások_részletes '!D32</f>
        <v>0</v>
      </c>
      <c r="E67" s="101"/>
      <c r="F67" s="125">
        <f t="shared" si="3"/>
        <v>0</v>
      </c>
    </row>
    <row r="68" spans="1:7" ht="18.75" customHeight="1" x14ac:dyDescent="0.25">
      <c r="A68" s="107" t="s">
        <v>204</v>
      </c>
      <c r="B68" s="95" t="s">
        <v>205</v>
      </c>
      <c r="C68" s="126">
        <f>+'2.Kiadások_részletes '!C33</f>
        <v>1097392.91463872</v>
      </c>
      <c r="D68" s="126">
        <f>+'2.Kiadások_részletes '!D33</f>
        <v>1114823</v>
      </c>
      <c r="E68" s="126"/>
      <c r="F68" s="127">
        <f t="shared" si="3"/>
        <v>1114823</v>
      </c>
    </row>
    <row r="69" spans="1:7" ht="18.75" customHeight="1" x14ac:dyDescent="0.3">
      <c r="A69" s="130" t="s">
        <v>200</v>
      </c>
      <c r="B69" s="129" t="s">
        <v>26</v>
      </c>
      <c r="C69" s="109">
        <f>SUM(C66:C68)</f>
        <v>1127557.91463872</v>
      </c>
      <c r="D69" s="109">
        <f>SUM(D66:D68)</f>
        <v>1116143</v>
      </c>
      <c r="E69" s="109">
        <f>SUM(E66:E68)</f>
        <v>0</v>
      </c>
      <c r="F69" s="110">
        <f>SUM(D69:E69)</f>
        <v>1116143</v>
      </c>
    </row>
    <row r="70" spans="1:7" ht="18.75" customHeight="1" thickBot="1" x14ac:dyDescent="0.35">
      <c r="A70" s="680"/>
      <c r="B70" s="141" t="s">
        <v>224</v>
      </c>
      <c r="C70" s="144">
        <f>SUM(C65,C69)</f>
        <v>2117552.5513687199</v>
      </c>
      <c r="D70" s="144">
        <f>SUM(D65,D69)</f>
        <v>1840193.8599999999</v>
      </c>
      <c r="E70" s="144">
        <f>SUM(E65,E69)</f>
        <v>3632</v>
      </c>
      <c r="F70" s="145">
        <f>SUM(D70:E70)</f>
        <v>1843825.8599999999</v>
      </c>
      <c r="G70" s="145"/>
    </row>
    <row r="71" spans="1:7" ht="15" hidden="1" customHeight="1" x14ac:dyDescent="0.25"/>
    <row r="72" spans="1:7" ht="15" hidden="1" customHeight="1" x14ac:dyDescent="0.25">
      <c r="D72" s="449"/>
      <c r="E72" s="449"/>
      <c r="F72" s="449"/>
    </row>
    <row r="73" spans="1:7" ht="15" hidden="1" customHeight="1" x14ac:dyDescent="0.25">
      <c r="F73" s="449"/>
    </row>
    <row r="74" spans="1:7" ht="15" hidden="1" customHeight="1" x14ac:dyDescent="0.25">
      <c r="F74" s="449">
        <f>F70-'2.Kiadások_részletes '!D35</f>
        <v>0</v>
      </c>
    </row>
    <row r="75" spans="1:7" ht="15" hidden="1" customHeight="1" x14ac:dyDescent="0.25"/>
    <row r="76" spans="1:7" ht="15" hidden="1" customHeight="1" x14ac:dyDescent="0.25"/>
    <row r="77" spans="1:7" ht="15" hidden="1" customHeight="1" x14ac:dyDescent="0.25"/>
    <row r="78" spans="1:7" ht="15" hidden="1" customHeight="1" x14ac:dyDescent="0.25"/>
  </sheetData>
  <mergeCells count="11">
    <mergeCell ref="A42:A43"/>
    <mergeCell ref="B42:B43"/>
    <mergeCell ref="C42:C43"/>
    <mergeCell ref="D42:F42"/>
    <mergeCell ref="A1:F1"/>
    <mergeCell ref="A2:F2"/>
    <mergeCell ref="A3:F3"/>
    <mergeCell ref="A6:A7"/>
    <mergeCell ref="B6:B7"/>
    <mergeCell ref="C6:C7"/>
    <mergeCell ref="D6:F6"/>
  </mergeCells>
  <printOptions horizontalCentered="1"/>
  <pageMargins left="0" right="0" top="0.19685039370078741" bottom="0.19685039370078741" header="0.31496062992125984" footer="0.31496062992125984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7">
    <tabColor rgb="FF92D050"/>
    <pageSetUpPr fitToPage="1"/>
  </sheetPr>
  <dimension ref="A1:G70"/>
  <sheetViews>
    <sheetView view="pageBreakPreview" topLeftCell="A49" zoomScale="90" zoomScaleSheetLayoutView="90" workbookViewId="0">
      <selection activeCell="B14" sqref="B14"/>
    </sheetView>
  </sheetViews>
  <sheetFormatPr defaultColWidth="9.109375" defaultRowHeight="15" customHeight="1" x14ac:dyDescent="0.25"/>
  <cols>
    <col min="1" max="1" width="14" style="86" customWidth="1"/>
    <col min="2" max="2" width="82.88671875" style="86" customWidth="1"/>
    <col min="3" max="3" width="16.6640625" style="86" customWidth="1"/>
    <col min="4" max="4" width="14" style="86" customWidth="1"/>
    <col min="5" max="5" width="15.5546875" style="86" customWidth="1"/>
    <col min="6" max="6" width="16.109375" style="86" customWidth="1"/>
    <col min="7" max="16384" width="9.109375" style="86"/>
  </cols>
  <sheetData>
    <row r="1" spans="1:7" ht="20.399999999999999" x14ac:dyDescent="0.35">
      <c r="A1" s="1843" t="str">
        <f>'4. Köt+önk_Önkori'!A1:F1</f>
        <v>Pilisvörösvár Város Önkormányzata Képviselő-testületének 1/2021. (II. 15.) önkormányzati rendelete</v>
      </c>
      <c r="B1" s="1843"/>
      <c r="C1" s="1843"/>
      <c r="D1" s="1843"/>
      <c r="E1" s="1843"/>
      <c r="F1" s="1843"/>
    </row>
    <row r="2" spans="1:7" ht="20.399999999999999" x14ac:dyDescent="0.35">
      <c r="A2" s="1843" t="str">
        <f>'4. Köt+önk_Önkori'!A2:F2</f>
        <v>az Önkormányzat  2021. évi költségvetéséről</v>
      </c>
      <c r="B2" s="1843"/>
      <c r="C2" s="1843"/>
      <c r="D2" s="1843"/>
      <c r="E2" s="1843"/>
      <c r="F2" s="1843"/>
    </row>
    <row r="3" spans="1:7" ht="15" customHeight="1" x14ac:dyDescent="0.4">
      <c r="A3" s="730"/>
      <c r="B3" s="730"/>
      <c r="C3" s="730"/>
      <c r="D3" s="730"/>
      <c r="E3" s="730"/>
      <c r="F3" s="730"/>
    </row>
    <row r="4" spans="1:7" ht="29.25" customHeight="1" x14ac:dyDescent="0.35">
      <c r="A4" s="1843" t="str">
        <f>Tartalomjegyzék_2021!B12</f>
        <v>Pilisvörösvári Polgármesteri Hivatal költségvetése kötelező és önként vállalt feladat szerinti bontásban</v>
      </c>
      <c r="B4" s="1843"/>
      <c r="C4" s="1843"/>
      <c r="D4" s="1843"/>
      <c r="E4" s="1843"/>
      <c r="F4" s="1843"/>
    </row>
    <row r="5" spans="1:7" ht="21" x14ac:dyDescent="0.4">
      <c r="A5" s="730"/>
      <c r="B5" s="730"/>
      <c r="C5" s="730"/>
      <c r="D5" s="730"/>
      <c r="E5" s="730"/>
      <c r="F5" s="720" t="s">
        <v>14</v>
      </c>
    </row>
    <row r="6" spans="1:7" ht="21" x14ac:dyDescent="0.4">
      <c r="A6" s="730"/>
      <c r="B6" s="730"/>
      <c r="C6" s="730"/>
      <c r="D6" s="730"/>
      <c r="E6" s="730"/>
      <c r="F6" s="720"/>
      <c r="G6" s="271"/>
    </row>
    <row r="7" spans="1:7" ht="18.75" customHeight="1" thickBot="1" x14ac:dyDescent="0.45">
      <c r="A7" s="730"/>
      <c r="B7" s="730"/>
      <c r="C7" s="730"/>
      <c r="D7" s="730"/>
      <c r="E7" s="730"/>
      <c r="F7" s="693" t="s">
        <v>201</v>
      </c>
    </row>
    <row r="8" spans="1:7" ht="19.5" customHeight="1" x14ac:dyDescent="0.25">
      <c r="A8" s="1834" t="s">
        <v>242</v>
      </c>
      <c r="B8" s="1836" t="s">
        <v>553</v>
      </c>
      <c r="C8" s="1836" t="s">
        <v>822</v>
      </c>
      <c r="D8" s="1838" t="s">
        <v>823</v>
      </c>
      <c r="E8" s="1839"/>
      <c r="F8" s="1840"/>
    </row>
    <row r="9" spans="1:7" ht="67.2" x14ac:dyDescent="0.25">
      <c r="A9" s="1835"/>
      <c r="B9" s="1837"/>
      <c r="C9" s="1837"/>
      <c r="D9" s="936" t="s">
        <v>623</v>
      </c>
      <c r="E9" s="936" t="s">
        <v>624</v>
      </c>
      <c r="F9" s="944" t="s">
        <v>625</v>
      </c>
    </row>
    <row r="10" spans="1:7" s="48" customFormat="1" ht="18" x14ac:dyDescent="0.35">
      <c r="A10" s="102" t="s">
        <v>253</v>
      </c>
      <c r="B10" s="918" t="s">
        <v>252</v>
      </c>
      <c r="C10" s="825">
        <f>+'2.Bevételek_részletes'!E8</f>
        <v>0</v>
      </c>
      <c r="D10" s="825">
        <f>+'2.Bevételek_részletes'!F8</f>
        <v>0</v>
      </c>
      <c r="E10" s="825"/>
      <c r="F10" s="919">
        <f>D10+E10</f>
        <v>0</v>
      </c>
    </row>
    <row r="11" spans="1:7" s="48" customFormat="1" ht="24" customHeight="1" x14ac:dyDescent="0.35">
      <c r="A11" s="102" t="s">
        <v>255</v>
      </c>
      <c r="B11" s="918" t="s">
        <v>254</v>
      </c>
      <c r="C11" s="825">
        <f>+'2.Bevételek_részletes'!E9</f>
        <v>0</v>
      </c>
      <c r="D11" s="825">
        <f>+'2.Bevételek_részletes'!F9</f>
        <v>0</v>
      </c>
      <c r="E11" s="825"/>
      <c r="F11" s="919">
        <f t="shared" ref="F11:F33" si="0">D11+E11</f>
        <v>0</v>
      </c>
    </row>
    <row r="12" spans="1:7" s="48" customFormat="1" ht="17.399999999999999" x14ac:dyDescent="0.3">
      <c r="A12" s="108" t="s">
        <v>257</v>
      </c>
      <c r="B12" s="920" t="s">
        <v>256</v>
      </c>
      <c r="C12" s="921">
        <f>SUM(C10:C11)</f>
        <v>0</v>
      </c>
      <c r="D12" s="921">
        <f>SUM(D10:D11)</f>
        <v>0</v>
      </c>
      <c r="E12" s="921">
        <f>SUM(E10:E11)</f>
        <v>0</v>
      </c>
      <c r="F12" s="922">
        <f t="shared" si="0"/>
        <v>0</v>
      </c>
    </row>
    <row r="13" spans="1:7" ht="17.399999999999999" x14ac:dyDescent="0.3">
      <c r="A13" s="108" t="s">
        <v>261</v>
      </c>
      <c r="B13" s="920" t="s">
        <v>260</v>
      </c>
      <c r="C13" s="921">
        <f>+'2.Bevételek_részletes'!E12</f>
        <v>0</v>
      </c>
      <c r="D13" s="921">
        <f>+'2.Bevételek_részletes'!F12</f>
        <v>0</v>
      </c>
      <c r="E13" s="921"/>
      <c r="F13" s="922">
        <f t="shared" si="0"/>
        <v>0</v>
      </c>
    </row>
    <row r="14" spans="1:7" ht="18" x14ac:dyDescent="0.3">
      <c r="A14" s="447" t="s">
        <v>113</v>
      </c>
      <c r="B14" s="923" t="s">
        <v>123</v>
      </c>
      <c r="C14" s="921">
        <f>+'2.Bevételek_részletes'!E13</f>
        <v>0</v>
      </c>
      <c r="D14" s="921">
        <f>+'2.Bevételek_részletes'!F13</f>
        <v>0</v>
      </c>
      <c r="E14" s="921">
        <v>0</v>
      </c>
      <c r="F14" s="922">
        <f t="shared" si="0"/>
        <v>0</v>
      </c>
    </row>
    <row r="15" spans="1:7" s="48" customFormat="1" ht="18" x14ac:dyDescent="0.3">
      <c r="A15" s="102" t="s">
        <v>82</v>
      </c>
      <c r="B15" s="918" t="s">
        <v>122</v>
      </c>
      <c r="C15" s="921">
        <f>+'2.Bevételek_részletes'!E14</f>
        <v>0</v>
      </c>
      <c r="D15" s="921">
        <f>+'2.Bevételek_részletes'!F14</f>
        <v>0</v>
      </c>
      <c r="E15" s="921"/>
      <c r="F15" s="922">
        <f t="shared" si="0"/>
        <v>0</v>
      </c>
    </row>
    <row r="16" spans="1:7" s="48" customFormat="1" ht="18" x14ac:dyDescent="0.3">
      <c r="A16" s="102" t="s">
        <v>263</v>
      </c>
      <c r="B16" s="918" t="s">
        <v>119</v>
      </c>
      <c r="C16" s="921">
        <f>+'2.Bevételek_részletes'!E15</f>
        <v>0</v>
      </c>
      <c r="D16" s="921">
        <f>+'2.Bevételek_részletes'!F15</f>
        <v>0</v>
      </c>
      <c r="E16" s="921"/>
      <c r="F16" s="922">
        <f t="shared" si="0"/>
        <v>0</v>
      </c>
    </row>
    <row r="17" spans="1:6" s="48" customFormat="1" ht="17.399999999999999" x14ac:dyDescent="0.3">
      <c r="A17" s="108" t="s">
        <v>265</v>
      </c>
      <c r="B17" s="920" t="s">
        <v>264</v>
      </c>
      <c r="C17" s="921">
        <f>SUM(C14:C16)</f>
        <v>0</v>
      </c>
      <c r="D17" s="921">
        <f>SUM(D14:D16)</f>
        <v>0</v>
      </c>
      <c r="E17" s="921">
        <f>SUM(E14:E16)</f>
        <v>0</v>
      </c>
      <c r="F17" s="922">
        <f t="shared" si="0"/>
        <v>0</v>
      </c>
    </row>
    <row r="18" spans="1:6" ht="18" x14ac:dyDescent="0.35">
      <c r="A18" s="102" t="s">
        <v>90</v>
      </c>
      <c r="B18" s="262" t="s">
        <v>266</v>
      </c>
      <c r="C18" s="825">
        <f>+'2.Bevételek_részletes'!E17</f>
        <v>1274</v>
      </c>
      <c r="D18" s="825">
        <f>+'2.Bevételek_részletes'!F17-E18</f>
        <v>0</v>
      </c>
      <c r="E18" s="825">
        <f>'15. Működési bev. (B3,B4)'!G21</f>
        <v>0</v>
      </c>
      <c r="F18" s="919">
        <f t="shared" si="0"/>
        <v>0</v>
      </c>
    </row>
    <row r="19" spans="1:6" ht="18" x14ac:dyDescent="0.35">
      <c r="A19" s="102" t="s">
        <v>89</v>
      </c>
      <c r="B19" s="918" t="s">
        <v>92</v>
      </c>
      <c r="C19" s="825">
        <f>+'2.Bevételek_részletes'!E18</f>
        <v>144781.82652127999</v>
      </c>
      <c r="D19" s="825">
        <f>+'2.Bevételek_részletes'!F18-E19</f>
        <v>0</v>
      </c>
      <c r="E19" s="825">
        <f>'15. Működési bev. (B3,B4)'!G27+'15. Működési bev. (B3,B4)'!G32</f>
        <v>131865</v>
      </c>
      <c r="F19" s="919">
        <f t="shared" si="0"/>
        <v>131865</v>
      </c>
    </row>
    <row r="20" spans="1:6" ht="18" x14ac:dyDescent="0.35">
      <c r="A20" s="102" t="s">
        <v>88</v>
      </c>
      <c r="B20" s="918" t="s">
        <v>84</v>
      </c>
      <c r="C20" s="825">
        <f>+'2.Bevételek_részletes'!E19</f>
        <v>1543.0045400000001</v>
      </c>
      <c r="D20" s="825">
        <f>+'2.Bevételek_részletes'!F19</f>
        <v>1946</v>
      </c>
      <c r="E20" s="825"/>
      <c r="F20" s="919">
        <f t="shared" si="0"/>
        <v>1946</v>
      </c>
    </row>
    <row r="21" spans="1:6" ht="18" x14ac:dyDescent="0.35">
      <c r="A21" s="102" t="s">
        <v>272</v>
      </c>
      <c r="B21" s="918" t="s">
        <v>271</v>
      </c>
      <c r="C21" s="825">
        <f>+'2.Bevételek_részletes'!E20</f>
        <v>0</v>
      </c>
      <c r="D21" s="825">
        <f>+'2.Bevételek_részletes'!F20</f>
        <v>0</v>
      </c>
      <c r="E21" s="825"/>
      <c r="F21" s="919">
        <f t="shared" si="0"/>
        <v>0</v>
      </c>
    </row>
    <row r="22" spans="1:6" ht="18" x14ac:dyDescent="0.35">
      <c r="A22" s="102" t="s">
        <v>274</v>
      </c>
      <c r="B22" s="918" t="s">
        <v>273</v>
      </c>
      <c r="C22" s="825">
        <f>+'2.Bevételek_részletes'!E21</f>
        <v>20926.645399999998</v>
      </c>
      <c r="D22" s="825">
        <f>+'2.Bevételek_részletes'!F21</f>
        <v>26500</v>
      </c>
      <c r="E22" s="825"/>
      <c r="F22" s="919">
        <f t="shared" si="0"/>
        <v>26500</v>
      </c>
    </row>
    <row r="23" spans="1:6" ht="18" x14ac:dyDescent="0.35">
      <c r="A23" s="102" t="s">
        <v>277</v>
      </c>
      <c r="B23" s="918" t="s">
        <v>276</v>
      </c>
      <c r="C23" s="825">
        <f>+'2.Bevételek_részletes'!E22</f>
        <v>0</v>
      </c>
      <c r="D23" s="825">
        <f>+'2.Bevételek_részletes'!F22</f>
        <v>0</v>
      </c>
      <c r="E23" s="825"/>
      <c r="F23" s="919">
        <f t="shared" si="0"/>
        <v>0</v>
      </c>
    </row>
    <row r="24" spans="1:6" ht="18" x14ac:dyDescent="0.35">
      <c r="A24" s="102" t="s">
        <v>587</v>
      </c>
      <c r="B24" s="918" t="s">
        <v>616</v>
      </c>
      <c r="C24" s="825">
        <f>+'2.Bevételek_részletes'!E23</f>
        <v>881.25</v>
      </c>
      <c r="D24" s="825">
        <f>+'2.Bevételek_részletes'!F23</f>
        <v>400</v>
      </c>
      <c r="E24" s="825"/>
      <c r="F24" s="919">
        <f t="shared" si="0"/>
        <v>400</v>
      </c>
    </row>
    <row r="25" spans="1:6" s="48" customFormat="1" ht="17.399999999999999" x14ac:dyDescent="0.3">
      <c r="A25" s="108" t="s">
        <v>279</v>
      </c>
      <c r="B25" s="268" t="s">
        <v>278</v>
      </c>
      <c r="C25" s="921">
        <f>SUM(C18:C24)</f>
        <v>169406.72646127999</v>
      </c>
      <c r="D25" s="921">
        <f>SUM(D18:D24)</f>
        <v>28846</v>
      </c>
      <c r="E25" s="921">
        <f>SUM(E18:E23)</f>
        <v>131865</v>
      </c>
      <c r="F25" s="922">
        <f t="shared" si="0"/>
        <v>160711</v>
      </c>
    </row>
    <row r="26" spans="1:6" s="48" customFormat="1" ht="17.399999999999999" x14ac:dyDescent="0.3">
      <c r="A26" s="108" t="s">
        <v>285</v>
      </c>
      <c r="B26" s="920" t="s">
        <v>284</v>
      </c>
      <c r="C26" s="921">
        <f>+'2.Bevételek_részletes'!E27</f>
        <v>0</v>
      </c>
      <c r="D26" s="921">
        <f>+'2.Bevételek_részletes'!F27</f>
        <v>0</v>
      </c>
      <c r="E26" s="921"/>
      <c r="F26" s="922">
        <f t="shared" si="0"/>
        <v>0</v>
      </c>
    </row>
    <row r="27" spans="1:6" s="48" customFormat="1" ht="17.399999999999999" x14ac:dyDescent="0.3">
      <c r="A27" s="108" t="s">
        <v>289</v>
      </c>
      <c r="B27" s="920" t="s">
        <v>288</v>
      </c>
      <c r="C27" s="921">
        <f>+'2.Bevételek_részletes'!E29</f>
        <v>0</v>
      </c>
      <c r="D27" s="921">
        <f>+'2.Bevételek_részletes'!F29</f>
        <v>0</v>
      </c>
      <c r="E27" s="921"/>
      <c r="F27" s="922">
        <f t="shared" si="0"/>
        <v>0</v>
      </c>
    </row>
    <row r="28" spans="1:6" s="48" customFormat="1" ht="40.5" customHeight="1" x14ac:dyDescent="0.35">
      <c r="A28" s="102" t="s">
        <v>622</v>
      </c>
      <c r="B28" s="918" t="s">
        <v>290</v>
      </c>
      <c r="C28" s="825">
        <f>+'2.Bevételek_részletes'!E30</f>
        <v>0</v>
      </c>
      <c r="D28" s="825">
        <f>+'2.Bevételek_részletes'!F30</f>
        <v>0</v>
      </c>
      <c r="E28" s="825"/>
      <c r="F28" s="919">
        <f t="shared" si="0"/>
        <v>0</v>
      </c>
    </row>
    <row r="29" spans="1:6" s="48" customFormat="1" ht="18" x14ac:dyDescent="0.35">
      <c r="A29" s="102" t="s">
        <v>566</v>
      </c>
      <c r="B29" s="262" t="s">
        <v>292</v>
      </c>
      <c r="C29" s="825">
        <f>+'2.Bevételek_részletes'!E31</f>
        <v>0</v>
      </c>
      <c r="D29" s="825">
        <f>+'2.Bevételek_részletes'!F31</f>
        <v>0</v>
      </c>
      <c r="E29" s="825"/>
      <c r="F29" s="919">
        <f t="shared" si="0"/>
        <v>0</v>
      </c>
    </row>
    <row r="30" spans="1:6" s="48" customFormat="1" ht="17.399999999999999" x14ac:dyDescent="0.3">
      <c r="A30" s="108" t="s">
        <v>295</v>
      </c>
      <c r="B30" s="920" t="s">
        <v>294</v>
      </c>
      <c r="C30" s="921">
        <f>SUM(C28:C29)</f>
        <v>0</v>
      </c>
      <c r="D30" s="921">
        <f>SUM(D28:D29)</f>
        <v>0</v>
      </c>
      <c r="E30" s="921">
        <f>SUM(E28:E29)</f>
        <v>0</v>
      </c>
      <c r="F30" s="922">
        <f t="shared" si="0"/>
        <v>0</v>
      </c>
    </row>
    <row r="31" spans="1:6" s="48" customFormat="1" ht="17.399999999999999" x14ac:dyDescent="0.3">
      <c r="A31" s="114"/>
      <c r="B31" s="924" t="s">
        <v>71</v>
      </c>
      <c r="C31" s="925">
        <f>SUM(C11,C16,C25,C27)</f>
        <v>169406.72646127999</v>
      </c>
      <c r="D31" s="925">
        <f>SUM(D11,D16,D25,D27)</f>
        <v>28846</v>
      </c>
      <c r="E31" s="925">
        <f>SUM(E11,E16,E25,E27)</f>
        <v>131865</v>
      </c>
      <c r="F31" s="926">
        <f t="shared" si="0"/>
        <v>160711</v>
      </c>
    </row>
    <row r="32" spans="1:6" ht="17.399999999999999" x14ac:dyDescent="0.3">
      <c r="A32" s="114"/>
      <c r="B32" s="924" t="s">
        <v>72</v>
      </c>
      <c r="C32" s="925">
        <f>SUM(C12,C26,C30)</f>
        <v>0</v>
      </c>
      <c r="D32" s="925">
        <f>SUM(D12,D26,D30)</f>
        <v>0</v>
      </c>
      <c r="E32" s="925">
        <f>SUM(E12,E26,E30)</f>
        <v>0</v>
      </c>
      <c r="F32" s="926">
        <f t="shared" si="0"/>
        <v>0</v>
      </c>
    </row>
    <row r="33" spans="1:7" ht="17.399999999999999" x14ac:dyDescent="0.3">
      <c r="A33" s="105" t="s">
        <v>297</v>
      </c>
      <c r="B33" s="264" t="s">
        <v>296</v>
      </c>
      <c r="C33" s="927">
        <f>C31+C32</f>
        <v>169406.72646127999</v>
      </c>
      <c r="D33" s="927">
        <f>D31+D32</f>
        <v>28846</v>
      </c>
      <c r="E33" s="927">
        <f>E31+E32</f>
        <v>131865</v>
      </c>
      <c r="F33" s="928">
        <f t="shared" si="0"/>
        <v>160711</v>
      </c>
    </row>
    <row r="34" spans="1:7" ht="18" x14ac:dyDescent="0.35">
      <c r="A34" s="118"/>
      <c r="B34" s="929" t="s">
        <v>298</v>
      </c>
      <c r="C34" s="930">
        <f t="shared" ref="C34:F35" si="1">C31-C61</f>
        <v>-489610.91463871999</v>
      </c>
      <c r="D34" s="930">
        <f t="shared" si="1"/>
        <v>-410038</v>
      </c>
      <c r="E34" s="930">
        <f t="shared" si="1"/>
        <v>-25262</v>
      </c>
      <c r="F34" s="931">
        <f t="shared" si="1"/>
        <v>-435300</v>
      </c>
    </row>
    <row r="35" spans="1:7" ht="18" x14ac:dyDescent="0.35">
      <c r="A35" s="118"/>
      <c r="B35" s="929" t="s">
        <v>299</v>
      </c>
      <c r="C35" s="930">
        <f t="shared" si="1"/>
        <v>-9010</v>
      </c>
      <c r="D35" s="930">
        <f t="shared" si="1"/>
        <v>-5305</v>
      </c>
      <c r="E35" s="930">
        <f t="shared" si="1"/>
        <v>0</v>
      </c>
      <c r="F35" s="931">
        <f t="shared" si="1"/>
        <v>-5305</v>
      </c>
    </row>
    <row r="36" spans="1:7" ht="18" x14ac:dyDescent="0.35">
      <c r="A36" s="107" t="s">
        <v>303</v>
      </c>
      <c r="B36" s="262" t="s">
        <v>302</v>
      </c>
      <c r="C36" s="825">
        <f>+'2.Bevételek_részletes'!E38</f>
        <v>0</v>
      </c>
      <c r="D36" s="825">
        <f>+'2.Bevételek_részletes'!F38</f>
        <v>0</v>
      </c>
      <c r="E36" s="825"/>
      <c r="F36" s="919">
        <f t="shared" ref="F36:F41" si="2">D36+E36</f>
        <v>0</v>
      </c>
    </row>
    <row r="37" spans="1:7" ht="42.75" customHeight="1" x14ac:dyDescent="0.35">
      <c r="A37" s="107" t="s">
        <v>305</v>
      </c>
      <c r="B37" s="918" t="s">
        <v>304</v>
      </c>
      <c r="C37" s="825">
        <f>+'2.Bevételek_részletes'!E40</f>
        <v>0</v>
      </c>
      <c r="D37" s="825">
        <f>+'2.Bevételek_részletes'!F40</f>
        <v>0</v>
      </c>
      <c r="E37" s="825"/>
      <c r="F37" s="919">
        <f t="shared" si="2"/>
        <v>0</v>
      </c>
    </row>
    <row r="38" spans="1:7" s="48" customFormat="1" ht="17.399999999999999" x14ac:dyDescent="0.3">
      <c r="A38" s="851" t="s">
        <v>308</v>
      </c>
      <c r="B38" s="920" t="s">
        <v>307</v>
      </c>
      <c r="C38" s="921">
        <f>SUM(C37:C37)</f>
        <v>0</v>
      </c>
      <c r="D38" s="921">
        <f>SUM(D37:D37)</f>
        <v>0</v>
      </c>
      <c r="E38" s="921">
        <f>SUM(E37:E37)</f>
        <v>0</v>
      </c>
      <c r="F38" s="922">
        <f t="shared" si="2"/>
        <v>0</v>
      </c>
    </row>
    <row r="39" spans="1:7" ht="18" x14ac:dyDescent="0.35">
      <c r="A39" s="107" t="s">
        <v>310</v>
      </c>
      <c r="B39" s="918" t="s">
        <v>309</v>
      </c>
      <c r="C39" s="825">
        <f>+'2.Bevételek_részletes'!E43</f>
        <v>498620.91463871999</v>
      </c>
      <c r="D39" s="825">
        <f>+'2.Bevételek_részletes'!F43</f>
        <v>440605</v>
      </c>
      <c r="E39" s="825"/>
      <c r="F39" s="919">
        <f t="shared" si="2"/>
        <v>440605</v>
      </c>
    </row>
    <row r="40" spans="1:7" ht="17.399999999999999" x14ac:dyDescent="0.3">
      <c r="A40" s="130" t="s">
        <v>318</v>
      </c>
      <c r="B40" s="932" t="s">
        <v>317</v>
      </c>
      <c r="C40" s="927">
        <f>C36+C38+C39</f>
        <v>498620.91463871999</v>
      </c>
      <c r="D40" s="927">
        <f>D36+D38+D39</f>
        <v>440605</v>
      </c>
      <c r="E40" s="927">
        <f>E36+E38+E39</f>
        <v>0</v>
      </c>
      <c r="F40" s="928">
        <f t="shared" si="2"/>
        <v>440605</v>
      </c>
    </row>
    <row r="41" spans="1:7" ht="18" thickBot="1" x14ac:dyDescent="0.35">
      <c r="A41" s="140"/>
      <c r="B41" s="933" t="s">
        <v>234</v>
      </c>
      <c r="C41" s="934">
        <f>C33+C40</f>
        <v>668027.64110000001</v>
      </c>
      <c r="D41" s="934">
        <f>D33+D40</f>
        <v>469451</v>
      </c>
      <c r="E41" s="934">
        <f>E33+E40</f>
        <v>131865</v>
      </c>
      <c r="F41" s="935">
        <f t="shared" si="2"/>
        <v>601316</v>
      </c>
      <c r="G41" s="449"/>
    </row>
    <row r="42" spans="1:7" ht="15" customHeight="1" thickBot="1" x14ac:dyDescent="0.35">
      <c r="A42" s="803"/>
      <c r="B42" s="803"/>
      <c r="C42" s="803"/>
      <c r="D42" s="1397"/>
      <c r="E42" s="1397"/>
      <c r="F42" s="1398"/>
    </row>
    <row r="43" spans="1:7" ht="39.75" customHeight="1" x14ac:dyDescent="0.25">
      <c r="A43" s="1834" t="s">
        <v>242</v>
      </c>
      <c r="B43" s="1836" t="s">
        <v>556</v>
      </c>
      <c r="C43" s="1836" t="s">
        <v>822</v>
      </c>
      <c r="D43" s="1838" t="s">
        <v>823</v>
      </c>
      <c r="E43" s="1839"/>
      <c r="F43" s="1840"/>
    </row>
    <row r="44" spans="1:7" ht="93.75" customHeight="1" x14ac:dyDescent="0.25">
      <c r="A44" s="1835"/>
      <c r="B44" s="1837"/>
      <c r="C44" s="1837"/>
      <c r="D44" s="936" t="s">
        <v>623</v>
      </c>
      <c r="E44" s="936" t="s">
        <v>624</v>
      </c>
      <c r="F44" s="944" t="s">
        <v>625</v>
      </c>
    </row>
    <row r="45" spans="1:7" ht="17.399999999999999" x14ac:dyDescent="0.3">
      <c r="A45" s="1390" t="s">
        <v>166</v>
      </c>
      <c r="B45" s="1394" t="s">
        <v>167</v>
      </c>
      <c r="C45" s="921">
        <f>+'2.Kiadások_részletes '!E11</f>
        <v>361340</v>
      </c>
      <c r="D45" s="921">
        <f>+'2.Kiadások_részletes '!F11-E45</f>
        <v>273188</v>
      </c>
      <c r="E45" s="921">
        <v>27811</v>
      </c>
      <c r="F45" s="922">
        <f>D45+E45</f>
        <v>300999</v>
      </c>
    </row>
    <row r="46" spans="1:7" ht="17.399999999999999" x14ac:dyDescent="0.3">
      <c r="A46" s="1390" t="s">
        <v>168</v>
      </c>
      <c r="B46" s="920" t="s">
        <v>169</v>
      </c>
      <c r="C46" s="921">
        <f>+'2.Kiadások_részletes '!E12</f>
        <v>69326</v>
      </c>
      <c r="D46" s="921">
        <f>+'2.Kiadások_részletes '!F12-E46</f>
        <v>43393</v>
      </c>
      <c r="E46" s="921">
        <v>4437</v>
      </c>
      <c r="F46" s="922">
        <f t="shared" ref="F46:F67" si="3">D46+E46</f>
        <v>47830</v>
      </c>
    </row>
    <row r="47" spans="1:7" ht="17.399999999999999" x14ac:dyDescent="0.3">
      <c r="A47" s="1390" t="s">
        <v>170</v>
      </c>
      <c r="B47" s="920" t="s">
        <v>171</v>
      </c>
      <c r="C47" s="921">
        <f>+'2.Kiadások_részletes '!E13</f>
        <v>224851.64110000001</v>
      </c>
      <c r="D47" s="921">
        <f>+'2.Kiadások_részletes '!F13-E47</f>
        <v>121303</v>
      </c>
      <c r="E47" s="921">
        <f>'18. Dologi kiadások cofog(K3)'!G29+'18. Dologi kiadások cofog(K3)'!G33</f>
        <v>124879</v>
      </c>
      <c r="F47" s="922">
        <f t="shared" si="3"/>
        <v>246182</v>
      </c>
    </row>
    <row r="48" spans="1:7" ht="17.399999999999999" x14ac:dyDescent="0.3">
      <c r="A48" s="1390" t="s">
        <v>172</v>
      </c>
      <c r="B48" s="268" t="s">
        <v>23</v>
      </c>
      <c r="C48" s="921">
        <f>+'2.Kiadások_részletes '!E14</f>
        <v>3500</v>
      </c>
      <c r="D48" s="921">
        <f>+'2.Kiadások_részletes '!F14</f>
        <v>1000</v>
      </c>
      <c r="E48" s="921"/>
      <c r="F48" s="922">
        <f t="shared" si="3"/>
        <v>1000</v>
      </c>
    </row>
    <row r="49" spans="1:6" ht="18" x14ac:dyDescent="0.35">
      <c r="A49" s="91" t="s">
        <v>96</v>
      </c>
      <c r="B49" s="262" t="s">
        <v>97</v>
      </c>
      <c r="C49" s="825">
        <f>+'2.Kiadások_részletes '!E15</f>
        <v>0</v>
      </c>
      <c r="D49" s="825">
        <f>+'2.Kiadások_részletes '!F15</f>
        <v>0</v>
      </c>
      <c r="E49" s="825"/>
      <c r="F49" s="919">
        <f t="shared" si="3"/>
        <v>0</v>
      </c>
    </row>
    <row r="50" spans="1:6" ht="18" x14ac:dyDescent="0.35">
      <c r="A50" s="91" t="s">
        <v>173</v>
      </c>
      <c r="B50" s="291" t="s">
        <v>174</v>
      </c>
      <c r="C50" s="825">
        <f>+'2.Kiadások_részletes '!E16</f>
        <v>0</v>
      </c>
      <c r="D50" s="825">
        <f>+'2.Kiadások_részletes '!F16</f>
        <v>0</v>
      </c>
      <c r="E50" s="825"/>
      <c r="F50" s="919">
        <f t="shared" si="3"/>
        <v>0</v>
      </c>
    </row>
    <row r="51" spans="1:6" ht="18" x14ac:dyDescent="0.35">
      <c r="A51" s="91" t="s">
        <v>176</v>
      </c>
      <c r="B51" s="291" t="s">
        <v>175</v>
      </c>
      <c r="C51" s="825">
        <f>+'2.Kiadások_részletes '!E17</f>
        <v>0</v>
      </c>
      <c r="D51" s="825">
        <f>+'2.Kiadások_részletes '!F17</f>
        <v>0</v>
      </c>
      <c r="E51" s="825"/>
      <c r="F51" s="919">
        <f t="shared" si="3"/>
        <v>0</v>
      </c>
    </row>
    <row r="52" spans="1:6" ht="18" x14ac:dyDescent="0.35">
      <c r="A52" s="91" t="s">
        <v>544</v>
      </c>
      <c r="B52" s="765" t="s">
        <v>177</v>
      </c>
      <c r="C52" s="825">
        <v>0</v>
      </c>
      <c r="D52" s="825">
        <v>0</v>
      </c>
      <c r="E52" s="825"/>
      <c r="F52" s="919">
        <f t="shared" si="3"/>
        <v>0</v>
      </c>
    </row>
    <row r="53" spans="1:6" ht="18" x14ac:dyDescent="0.35">
      <c r="A53" s="91" t="s">
        <v>544</v>
      </c>
      <c r="B53" s="765" t="s">
        <v>121</v>
      </c>
      <c r="C53" s="825">
        <v>0</v>
      </c>
      <c r="D53" s="825">
        <v>0</v>
      </c>
      <c r="E53" s="825"/>
      <c r="F53" s="919">
        <f t="shared" si="3"/>
        <v>0</v>
      </c>
    </row>
    <row r="54" spans="1:6" ht="18" x14ac:dyDescent="0.35">
      <c r="A54" s="91" t="s">
        <v>544</v>
      </c>
      <c r="B54" s="765" t="s">
        <v>178</v>
      </c>
      <c r="C54" s="825">
        <v>0</v>
      </c>
      <c r="D54" s="825">
        <v>0</v>
      </c>
      <c r="E54" s="825"/>
      <c r="F54" s="919">
        <f t="shared" si="3"/>
        <v>0</v>
      </c>
    </row>
    <row r="55" spans="1:6" ht="17.399999999999999" x14ac:dyDescent="0.3">
      <c r="A55" s="1390" t="s">
        <v>179</v>
      </c>
      <c r="B55" s="268" t="s">
        <v>180</v>
      </c>
      <c r="C55" s="921">
        <f>+'2.Kiadások_részletes '!E19</f>
        <v>0</v>
      </c>
      <c r="D55" s="921">
        <f>+'2.Kiadások_részletes '!F19</f>
        <v>0</v>
      </c>
      <c r="E55" s="921">
        <f>SUM(E50:E54)</f>
        <v>0</v>
      </c>
      <c r="F55" s="922">
        <f t="shared" si="3"/>
        <v>0</v>
      </c>
    </row>
    <row r="56" spans="1:6" ht="17.399999999999999" x14ac:dyDescent="0.3">
      <c r="A56" s="1390" t="s">
        <v>181</v>
      </c>
      <c r="B56" s="1395" t="s">
        <v>321</v>
      </c>
      <c r="C56" s="921">
        <f>+'2.Kiadások_részletes '!E21</f>
        <v>9010</v>
      </c>
      <c r="D56" s="921">
        <f>+'2.Kiadások_részletes '!F21</f>
        <v>5305</v>
      </c>
      <c r="E56" s="921"/>
      <c r="F56" s="922">
        <f t="shared" si="3"/>
        <v>5305</v>
      </c>
    </row>
    <row r="57" spans="1:6" ht="17.399999999999999" x14ac:dyDescent="0.3">
      <c r="A57" s="1390" t="s">
        <v>182</v>
      </c>
      <c r="B57" s="268" t="s">
        <v>183</v>
      </c>
      <c r="C57" s="921">
        <f>+'2.Kiadások_részletes '!E22</f>
        <v>0</v>
      </c>
      <c r="D57" s="921">
        <f>+'2.Kiadások_részletes '!F22</f>
        <v>0</v>
      </c>
      <c r="E57" s="921"/>
      <c r="F57" s="922">
        <f t="shared" si="3"/>
        <v>0</v>
      </c>
    </row>
    <row r="58" spans="1:6" ht="18" x14ac:dyDescent="0.35">
      <c r="A58" s="91" t="s">
        <v>141</v>
      </c>
      <c r="B58" s="262" t="s">
        <v>120</v>
      </c>
      <c r="C58" s="825">
        <f>+'2.Kiadások_részletes '!E23</f>
        <v>0</v>
      </c>
      <c r="D58" s="825">
        <f>+'2.Kiadások_részletes '!F23</f>
        <v>0</v>
      </c>
      <c r="E58" s="825"/>
      <c r="F58" s="919">
        <f t="shared" si="3"/>
        <v>0</v>
      </c>
    </row>
    <row r="59" spans="1:6" ht="18" x14ac:dyDescent="0.35">
      <c r="A59" s="91" t="s">
        <v>584</v>
      </c>
      <c r="B59" s="262" t="s">
        <v>185</v>
      </c>
      <c r="C59" s="825">
        <f>+'2.Kiadások_részletes '!E24</f>
        <v>0</v>
      </c>
      <c r="D59" s="825">
        <f>+'2.Kiadások_részletes '!F24</f>
        <v>0</v>
      </c>
      <c r="E59" s="825"/>
      <c r="F59" s="919">
        <f t="shared" si="3"/>
        <v>0</v>
      </c>
    </row>
    <row r="60" spans="1:6" ht="17.399999999999999" x14ac:dyDescent="0.3">
      <c r="A60" s="1390" t="s">
        <v>186</v>
      </c>
      <c r="B60" s="268" t="s">
        <v>187</v>
      </c>
      <c r="C60" s="921">
        <f>SUM(C58:C59)</f>
        <v>0</v>
      </c>
      <c r="D60" s="921">
        <f>SUM(D58:D59)</f>
        <v>0</v>
      </c>
      <c r="E60" s="921">
        <f>SUM(E58:E59)</f>
        <v>0</v>
      </c>
      <c r="F60" s="922">
        <f t="shared" si="3"/>
        <v>0</v>
      </c>
    </row>
    <row r="61" spans="1:6" s="48" customFormat="1" ht="17.399999999999999" x14ac:dyDescent="0.3">
      <c r="A61" s="99"/>
      <c r="B61" s="1396" t="s">
        <v>202</v>
      </c>
      <c r="C61" s="925">
        <f>SUM(C45:C48,C55)</f>
        <v>659017.64110000001</v>
      </c>
      <c r="D61" s="925">
        <f>SUM(D45:D48,D55)</f>
        <v>438884</v>
      </c>
      <c r="E61" s="925">
        <f>SUM(E45:E48,E55)</f>
        <v>157127</v>
      </c>
      <c r="F61" s="926">
        <f t="shared" si="3"/>
        <v>596011</v>
      </c>
    </row>
    <row r="62" spans="1:6" s="48" customFormat="1" ht="17.399999999999999" x14ac:dyDescent="0.3">
      <c r="A62" s="99"/>
      <c r="B62" s="1396" t="s">
        <v>203</v>
      </c>
      <c r="C62" s="925">
        <f>SUM(C56:C60,C60)</f>
        <v>9010</v>
      </c>
      <c r="D62" s="925">
        <f>SUM(D56:D60,D60)</f>
        <v>5305</v>
      </c>
      <c r="E62" s="925">
        <f>SUM(E56:E60,E60)</f>
        <v>0</v>
      </c>
      <c r="F62" s="926">
        <f t="shared" si="3"/>
        <v>5305</v>
      </c>
    </row>
    <row r="63" spans="1:6" ht="17.399999999999999" x14ac:dyDescent="0.3">
      <c r="A63" s="105" t="s">
        <v>188</v>
      </c>
      <c r="B63" s="264" t="s">
        <v>189</v>
      </c>
      <c r="C63" s="927">
        <f>C61+C62</f>
        <v>668027.64110000001</v>
      </c>
      <c r="D63" s="927">
        <f>D61+D62</f>
        <v>444189</v>
      </c>
      <c r="E63" s="927">
        <f>E61+E62</f>
        <v>157127</v>
      </c>
      <c r="F63" s="928">
        <f t="shared" si="3"/>
        <v>601316</v>
      </c>
    </row>
    <row r="64" spans="1:6" ht="18" x14ac:dyDescent="0.35">
      <c r="A64" s="107" t="s">
        <v>190</v>
      </c>
      <c r="B64" s="262" t="s">
        <v>142</v>
      </c>
      <c r="C64" s="940">
        <v>0</v>
      </c>
      <c r="D64" s="940">
        <v>0</v>
      </c>
      <c r="E64" s="937"/>
      <c r="F64" s="919">
        <f t="shared" si="3"/>
        <v>0</v>
      </c>
    </row>
    <row r="65" spans="1:7" ht="18" x14ac:dyDescent="0.35">
      <c r="A65" s="107" t="s">
        <v>204</v>
      </c>
      <c r="B65" s="262" t="s">
        <v>205</v>
      </c>
      <c r="C65" s="940">
        <v>0</v>
      </c>
      <c r="D65" s="940">
        <v>0</v>
      </c>
      <c r="E65" s="938"/>
      <c r="F65" s="919">
        <f t="shared" si="3"/>
        <v>0</v>
      </c>
    </row>
    <row r="66" spans="1:7" ht="17.399999999999999" x14ac:dyDescent="0.3">
      <c r="A66" s="130" t="s">
        <v>200</v>
      </c>
      <c r="B66" s="932" t="s">
        <v>26</v>
      </c>
      <c r="C66" s="927">
        <f>SUM(C64:C65)</f>
        <v>0</v>
      </c>
      <c r="D66" s="927">
        <f>SUM(D64:D65)</f>
        <v>0</v>
      </c>
      <c r="E66" s="927">
        <f>SUM(E64:E65)</f>
        <v>0</v>
      </c>
      <c r="F66" s="928">
        <f t="shared" si="3"/>
        <v>0</v>
      </c>
    </row>
    <row r="67" spans="1:7" ht="18" thickBot="1" x14ac:dyDescent="0.35">
      <c r="A67" s="140"/>
      <c r="B67" s="933" t="s">
        <v>224</v>
      </c>
      <c r="C67" s="934">
        <f>SUM(C63,C66)</f>
        <v>668027.64110000001</v>
      </c>
      <c r="D67" s="934">
        <f>SUM(D63,D66)</f>
        <v>444189</v>
      </c>
      <c r="E67" s="934">
        <f>SUM(E63,E66)</f>
        <v>157127</v>
      </c>
      <c r="F67" s="935">
        <f t="shared" si="3"/>
        <v>601316</v>
      </c>
      <c r="G67" s="449"/>
    </row>
    <row r="69" spans="1:7" ht="15" customHeight="1" x14ac:dyDescent="0.25">
      <c r="D69" s="449"/>
      <c r="E69" s="449"/>
      <c r="F69" s="449"/>
    </row>
    <row r="70" spans="1:7" ht="15" customHeight="1" x14ac:dyDescent="0.25">
      <c r="F70" s="449"/>
    </row>
  </sheetData>
  <mergeCells count="11">
    <mergeCell ref="A43:A44"/>
    <mergeCell ref="B43:B44"/>
    <mergeCell ref="C43:C44"/>
    <mergeCell ref="D43:F43"/>
    <mergeCell ref="A1:F1"/>
    <mergeCell ref="A2:F2"/>
    <mergeCell ref="A4:F4"/>
    <mergeCell ref="A8:A9"/>
    <mergeCell ref="B8:B9"/>
    <mergeCell ref="C8:C9"/>
    <mergeCell ref="D8:F8"/>
  </mergeCells>
  <printOptions horizontalCentered="1"/>
  <pageMargins left="0.23622047244094491" right="0.23622047244094491" top="0.2" bottom="0.3" header="0.31496062992125984" footer="0.21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8">
    <tabColor rgb="FF92D050"/>
    <pageSetUpPr fitToPage="1"/>
  </sheetPr>
  <dimension ref="A1:N68"/>
  <sheetViews>
    <sheetView view="pageBreakPreview" topLeftCell="A46" zoomScaleSheetLayoutView="100" workbookViewId="0">
      <selection activeCell="B14" sqref="B14"/>
    </sheetView>
  </sheetViews>
  <sheetFormatPr defaultColWidth="9.109375" defaultRowHeight="15" customHeight="1" x14ac:dyDescent="0.25"/>
  <cols>
    <col min="1" max="1" width="13.5546875" style="86" customWidth="1"/>
    <col min="2" max="2" width="72.44140625" style="86" customWidth="1"/>
    <col min="3" max="3" width="16.109375" style="86" customWidth="1"/>
    <col min="4" max="4" width="12.5546875" style="86" customWidth="1"/>
    <col min="5" max="5" width="13" style="86" customWidth="1"/>
    <col min="6" max="6" width="14.88671875" style="86" customWidth="1"/>
    <col min="7" max="17" width="0" style="86" hidden="1" customWidth="1"/>
    <col min="18" max="16384" width="9.109375" style="86"/>
  </cols>
  <sheetData>
    <row r="1" spans="1:14" ht="17.399999999999999" x14ac:dyDescent="0.3">
      <c r="A1" s="1841" t="str">
        <f>'5. Köt+önk_PH'!A1:F1</f>
        <v>Pilisvörösvár Város Önkormányzata Képviselő-testületének 1/2021. (II. 15.) önkormányzati rendelete</v>
      </c>
      <c r="B1" s="1841"/>
      <c r="C1" s="1841"/>
      <c r="D1" s="1841"/>
      <c r="E1" s="1841"/>
      <c r="F1" s="1841"/>
    </row>
    <row r="2" spans="1:14" ht="17.399999999999999" x14ac:dyDescent="0.3">
      <c r="A2" s="1841" t="str">
        <f>'5. Köt+önk_PH'!A2:F2</f>
        <v>az Önkormányzat  2021. évi költségvetéséről</v>
      </c>
      <c r="B2" s="1841"/>
      <c r="C2" s="1841"/>
      <c r="D2" s="1841"/>
      <c r="E2" s="1841"/>
      <c r="F2" s="1841"/>
    </row>
    <row r="3" spans="1:14" ht="8.25" customHeight="1" x14ac:dyDescent="0.25"/>
    <row r="4" spans="1:14" ht="33.75" customHeight="1" x14ac:dyDescent="0.25">
      <c r="A4" s="1844" t="str">
        <f>Tartalomjegyzék_2021!B13</f>
        <v>Pilisvörösvári Szakrendelő költségvetése kötelező és önként vállalt feladat szerinti bontásban</v>
      </c>
      <c r="B4" s="1844"/>
      <c r="C4" s="1844"/>
      <c r="D4" s="1844"/>
      <c r="E4" s="1844"/>
      <c r="F4" s="1844"/>
    </row>
    <row r="5" spans="1:14" ht="18" x14ac:dyDescent="0.25">
      <c r="F5" s="271" t="s">
        <v>15</v>
      </c>
    </row>
    <row r="6" spans="1:14" ht="15" customHeight="1" thickBot="1" x14ac:dyDescent="0.4">
      <c r="F6" s="272" t="s">
        <v>201</v>
      </c>
    </row>
    <row r="7" spans="1:14" ht="36.75" customHeight="1" x14ac:dyDescent="0.25">
      <c r="A7" s="1834" t="s">
        <v>242</v>
      </c>
      <c r="B7" s="1836" t="s">
        <v>553</v>
      </c>
      <c r="C7" s="1836" t="s">
        <v>822</v>
      </c>
      <c r="D7" s="1838" t="s">
        <v>823</v>
      </c>
      <c r="E7" s="1839"/>
      <c r="F7" s="1840"/>
    </row>
    <row r="8" spans="1:14" ht="50.4" x14ac:dyDescent="0.25">
      <c r="A8" s="1835"/>
      <c r="B8" s="1837"/>
      <c r="C8" s="1837"/>
      <c r="D8" s="917" t="s">
        <v>117</v>
      </c>
      <c r="E8" s="917" t="s">
        <v>118</v>
      </c>
      <c r="F8" s="939" t="s">
        <v>243</v>
      </c>
    </row>
    <row r="9" spans="1:14" s="48" customFormat="1" ht="15" customHeight="1" x14ac:dyDescent="0.3">
      <c r="A9" s="108" t="s">
        <v>257</v>
      </c>
      <c r="B9" s="93" t="s">
        <v>256</v>
      </c>
      <c r="C9" s="136">
        <f>'3. Gesz költségvetés'!M10</f>
        <v>342700</v>
      </c>
      <c r="D9" s="136">
        <f>'3. Gesz költségvetés'!N10</f>
        <v>377682</v>
      </c>
      <c r="E9" s="136"/>
      <c r="F9" s="137">
        <f t="shared" ref="F9:F25" si="0">SUM(D9:E9)</f>
        <v>377682</v>
      </c>
    </row>
    <row r="10" spans="1:14" ht="15" customHeight="1" x14ac:dyDescent="0.3">
      <c r="A10" s="108" t="s">
        <v>261</v>
      </c>
      <c r="B10" s="93" t="s">
        <v>260</v>
      </c>
      <c r="C10" s="136">
        <f>'3. Gesz költségvetés'!M11</f>
        <v>0</v>
      </c>
      <c r="D10" s="136">
        <f>'3. Gesz költségvetés'!N11</f>
        <v>0</v>
      </c>
      <c r="E10" s="136"/>
      <c r="F10" s="137">
        <f t="shared" si="0"/>
        <v>0</v>
      </c>
    </row>
    <row r="11" spans="1:14" ht="15" customHeight="1" x14ac:dyDescent="0.3">
      <c r="A11" s="447" t="s">
        <v>113</v>
      </c>
      <c r="B11" s="448" t="s">
        <v>123</v>
      </c>
      <c r="C11" s="136"/>
      <c r="D11" s="112"/>
      <c r="E11" s="136"/>
      <c r="F11" s="113">
        <f t="shared" si="0"/>
        <v>0</v>
      </c>
      <c r="G11" s="86">
        <f>(1624468092+705559195-673234361-1179943417)/1000-68953</f>
        <v>407896.50900000002</v>
      </c>
      <c r="N11" s="86">
        <f>+(162060040+405504754-562682380)/1000</f>
        <v>4882.4139999999998</v>
      </c>
    </row>
    <row r="12" spans="1:14" s="48" customFormat="1" ht="15" customHeight="1" x14ac:dyDescent="0.3">
      <c r="A12" s="102" t="s">
        <v>82</v>
      </c>
      <c r="B12" s="103" t="s">
        <v>122</v>
      </c>
      <c r="C12" s="136"/>
      <c r="D12" s="112"/>
      <c r="E12" s="112"/>
      <c r="F12" s="113">
        <f t="shared" si="0"/>
        <v>0</v>
      </c>
      <c r="G12" s="1140">
        <f>+E11+E12-G13</f>
        <v>0</v>
      </c>
    </row>
    <row r="13" spans="1:14" s="48" customFormat="1" ht="15" customHeight="1" x14ac:dyDescent="0.3">
      <c r="A13" s="102" t="s">
        <v>263</v>
      </c>
      <c r="B13" s="103" t="s">
        <v>119</v>
      </c>
      <c r="C13" s="136"/>
      <c r="D13" s="112"/>
      <c r="E13" s="112"/>
      <c r="F13" s="113">
        <f t="shared" si="0"/>
        <v>0</v>
      </c>
    </row>
    <row r="14" spans="1:14" s="48" customFormat="1" ht="15" customHeight="1" x14ac:dyDescent="0.3">
      <c r="A14" s="108" t="s">
        <v>265</v>
      </c>
      <c r="B14" s="93" t="s">
        <v>264</v>
      </c>
      <c r="C14" s="136"/>
      <c r="D14" s="112"/>
      <c r="E14" s="136"/>
      <c r="F14" s="113">
        <f t="shared" si="0"/>
        <v>0</v>
      </c>
    </row>
    <row r="15" spans="1:14" s="48" customFormat="1" ht="15" customHeight="1" x14ac:dyDescent="0.3">
      <c r="A15" s="102" t="s">
        <v>90</v>
      </c>
      <c r="B15" s="95" t="s">
        <v>266</v>
      </c>
      <c r="C15" s="136">
        <f>'3. Gesz költségvetés'!M13</f>
        <v>0</v>
      </c>
      <c r="D15" s="136"/>
      <c r="E15" s="136">
        <f t="shared" ref="E15:F15" si="1">SUM(E11:E13)</f>
        <v>0</v>
      </c>
      <c r="F15" s="136">
        <f t="shared" si="1"/>
        <v>0</v>
      </c>
    </row>
    <row r="16" spans="1:14" s="48" customFormat="1" ht="15" customHeight="1" x14ac:dyDescent="0.3">
      <c r="A16" s="102" t="s">
        <v>89</v>
      </c>
      <c r="B16" s="103" t="s">
        <v>92</v>
      </c>
      <c r="C16" s="136">
        <f>'3. Gesz költségvetés'!M20</f>
        <v>2010</v>
      </c>
      <c r="D16" s="112">
        <f>'3. Gesz költségvetés'!N20</f>
        <v>2700</v>
      </c>
      <c r="E16" s="136"/>
      <c r="F16" s="113">
        <f t="shared" si="0"/>
        <v>2700</v>
      </c>
    </row>
    <row r="17" spans="1:6" s="48" customFormat="1" ht="15" customHeight="1" x14ac:dyDescent="0.3">
      <c r="A17" s="102" t="s">
        <v>88</v>
      </c>
      <c r="B17" s="103" t="s">
        <v>84</v>
      </c>
      <c r="C17" s="136">
        <f>'3. Gesz költségvetés'!M21</f>
        <v>3500</v>
      </c>
      <c r="D17" s="112">
        <f>'3. Gesz költségvetés'!N21</f>
        <v>4500</v>
      </c>
      <c r="E17" s="136"/>
      <c r="F17" s="113">
        <f t="shared" si="0"/>
        <v>4500</v>
      </c>
    </row>
    <row r="18" spans="1:6" s="48" customFormat="1" ht="15" customHeight="1" x14ac:dyDescent="0.3">
      <c r="A18" s="102" t="s">
        <v>272</v>
      </c>
      <c r="B18" s="103" t="s">
        <v>271</v>
      </c>
      <c r="C18" s="136"/>
      <c r="D18" s="112"/>
      <c r="E18" s="136"/>
      <c r="F18" s="113">
        <f t="shared" si="0"/>
        <v>0</v>
      </c>
    </row>
    <row r="19" spans="1:6" s="48" customFormat="1" ht="15" customHeight="1" x14ac:dyDescent="0.3">
      <c r="A19" s="102" t="s">
        <v>274</v>
      </c>
      <c r="B19" s="103" t="s">
        <v>273</v>
      </c>
      <c r="C19" s="136">
        <f>'3. Gesz költségvetés'!M22</f>
        <v>2500</v>
      </c>
      <c r="D19" s="112"/>
      <c r="E19" s="136"/>
      <c r="F19" s="113">
        <f t="shared" si="0"/>
        <v>0</v>
      </c>
    </row>
    <row r="20" spans="1:6" s="48" customFormat="1" ht="15" customHeight="1" x14ac:dyDescent="0.3">
      <c r="A20" s="102" t="s">
        <v>277</v>
      </c>
      <c r="B20" s="103" t="s">
        <v>276</v>
      </c>
      <c r="C20" s="136">
        <f>'3. Gesz költségvetés'!M23</f>
        <v>0</v>
      </c>
      <c r="D20" s="112"/>
      <c r="E20" s="136"/>
      <c r="F20" s="113">
        <f t="shared" si="0"/>
        <v>0</v>
      </c>
    </row>
    <row r="21" spans="1:6" s="48" customFormat="1" ht="15" customHeight="1" x14ac:dyDescent="0.3">
      <c r="A21" s="108" t="s">
        <v>279</v>
      </c>
      <c r="B21" s="94" t="s">
        <v>278</v>
      </c>
      <c r="C21" s="136">
        <f>SUM(C15:C20)</f>
        <v>8010</v>
      </c>
      <c r="D21" s="136">
        <f>SUM(D15:D20)</f>
        <v>7200</v>
      </c>
      <c r="E21" s="136">
        <f>SUM(E15:E20)</f>
        <v>0</v>
      </c>
      <c r="F21" s="136">
        <f>SUM(F15:F20)</f>
        <v>7200</v>
      </c>
    </row>
    <row r="22" spans="1:6" s="48" customFormat="1" ht="16.8" x14ac:dyDescent="0.3">
      <c r="A22" s="108" t="s">
        <v>285</v>
      </c>
      <c r="B22" s="93" t="s">
        <v>284</v>
      </c>
      <c r="C22" s="136">
        <v>0</v>
      </c>
      <c r="D22" s="136"/>
      <c r="E22" s="136"/>
      <c r="F22" s="113">
        <f t="shared" si="0"/>
        <v>0</v>
      </c>
    </row>
    <row r="23" spans="1:6" s="48" customFormat="1" ht="15" customHeight="1" x14ac:dyDescent="0.3">
      <c r="A23" s="108" t="s">
        <v>289</v>
      </c>
      <c r="B23" s="93" t="s">
        <v>288</v>
      </c>
      <c r="C23" s="136">
        <f>'3. Gesz költségvetés'!M25</f>
        <v>0</v>
      </c>
      <c r="D23" s="136"/>
      <c r="E23" s="136"/>
      <c r="F23" s="113">
        <f t="shared" si="0"/>
        <v>0</v>
      </c>
    </row>
    <row r="24" spans="1:6" s="48" customFormat="1" ht="15" customHeight="1" x14ac:dyDescent="0.3">
      <c r="A24" s="102" t="s">
        <v>291</v>
      </c>
      <c r="B24" s="103" t="s">
        <v>290</v>
      </c>
      <c r="C24" s="136">
        <v>0</v>
      </c>
      <c r="D24" s="136"/>
      <c r="E24" s="136"/>
      <c r="F24" s="113">
        <f t="shared" si="0"/>
        <v>0</v>
      </c>
    </row>
    <row r="25" spans="1:6" s="48" customFormat="1" ht="15" customHeight="1" x14ac:dyDescent="0.3">
      <c r="A25" s="102" t="s">
        <v>293</v>
      </c>
      <c r="B25" s="95" t="s">
        <v>292</v>
      </c>
      <c r="C25" s="136">
        <v>0</v>
      </c>
      <c r="D25" s="136"/>
      <c r="E25" s="136"/>
      <c r="F25" s="113">
        <f t="shared" si="0"/>
        <v>0</v>
      </c>
    </row>
    <row r="26" spans="1:6" s="48" customFormat="1" ht="15" customHeight="1" x14ac:dyDescent="0.3">
      <c r="A26" s="108" t="s">
        <v>295</v>
      </c>
      <c r="B26" s="93" t="s">
        <v>294</v>
      </c>
      <c r="C26" s="136">
        <f>SUM(C24+C25)</f>
        <v>0</v>
      </c>
      <c r="D26" s="136"/>
      <c r="E26" s="136"/>
      <c r="F26" s="113">
        <f>SUM(D26:E26)</f>
        <v>0</v>
      </c>
    </row>
    <row r="27" spans="1:6" s="48" customFormat="1" ht="15" customHeight="1" x14ac:dyDescent="0.3">
      <c r="A27" s="114"/>
      <c r="B27" s="115" t="s">
        <v>71</v>
      </c>
      <c r="C27" s="116">
        <f>C9+C10+C14+C21+C22+C23+C26</f>
        <v>350710</v>
      </c>
      <c r="D27" s="116">
        <f>D9+D10+D14+D21+D22+D23+D26</f>
        <v>384882</v>
      </c>
      <c r="E27" s="116">
        <f>E9+E10+E14+E21+E22+E23+E26</f>
        <v>0</v>
      </c>
      <c r="F27" s="116">
        <f>F9+F10+F14+F21+F22+F23+F26</f>
        <v>384882</v>
      </c>
    </row>
    <row r="28" spans="1:6" ht="15" customHeight="1" x14ac:dyDescent="0.3">
      <c r="A28" s="114"/>
      <c r="B28" s="115" t="s">
        <v>72</v>
      </c>
      <c r="C28" s="116">
        <f>SUM(C10,C22,C26)</f>
        <v>0</v>
      </c>
      <c r="D28" s="116">
        <f>SUM(D10,D22,D26)</f>
        <v>0</v>
      </c>
      <c r="E28" s="116">
        <f>SUM(E10,E22,E26)</f>
        <v>0</v>
      </c>
      <c r="F28" s="116">
        <f>SUM(F10,F22,F26)</f>
        <v>0</v>
      </c>
    </row>
    <row r="29" spans="1:6" ht="15" customHeight="1" x14ac:dyDescent="0.3">
      <c r="A29" s="105" t="s">
        <v>297</v>
      </c>
      <c r="B29" s="100" t="s">
        <v>296</v>
      </c>
      <c r="C29" s="109">
        <f>C27+C28</f>
        <v>350710</v>
      </c>
      <c r="D29" s="109">
        <f>D27+D28</f>
        <v>384882</v>
      </c>
      <c r="E29" s="109">
        <f>E27+E28</f>
        <v>0</v>
      </c>
      <c r="F29" s="109">
        <f>F27+F28</f>
        <v>384882</v>
      </c>
    </row>
    <row r="30" spans="1:6" ht="15" customHeight="1" x14ac:dyDescent="0.3">
      <c r="A30" s="118"/>
      <c r="B30" s="119" t="s">
        <v>298</v>
      </c>
      <c r="C30" s="120">
        <f>'3. Gesz költségvetés'!M28</f>
        <v>0</v>
      </c>
      <c r="D30" s="120">
        <f>'3. Gesz költségvetés'!N28</f>
        <v>0</v>
      </c>
      <c r="E30" s="120">
        <f t="shared" ref="E30:F31" si="2">E27-E57</f>
        <v>0</v>
      </c>
      <c r="F30" s="120">
        <f t="shared" si="2"/>
        <v>0</v>
      </c>
    </row>
    <row r="31" spans="1:6" ht="15" customHeight="1" x14ac:dyDescent="0.3">
      <c r="A31" s="118"/>
      <c r="B31" s="119" t="s">
        <v>299</v>
      </c>
      <c r="C31" s="120">
        <f>'3. Gesz költségvetés'!M29</f>
        <v>0</v>
      </c>
      <c r="D31" s="120">
        <f>'3. Gesz költségvetés'!N29</f>
        <v>0</v>
      </c>
      <c r="E31" s="120">
        <f t="shared" si="2"/>
        <v>0</v>
      </c>
      <c r="F31" s="120">
        <f t="shared" si="2"/>
        <v>0</v>
      </c>
    </row>
    <row r="32" spans="1:6" ht="15" customHeight="1" x14ac:dyDescent="0.3">
      <c r="A32" s="107" t="s">
        <v>303</v>
      </c>
      <c r="B32" s="95" t="s">
        <v>302</v>
      </c>
      <c r="C32" s="112">
        <v>0</v>
      </c>
      <c r="D32" s="112"/>
      <c r="E32" s="112"/>
      <c r="F32" s="112">
        <f>SUM(C32:E32)</f>
        <v>0</v>
      </c>
    </row>
    <row r="33" spans="1:7" ht="15" customHeight="1" x14ac:dyDescent="0.3">
      <c r="A33" s="107" t="s">
        <v>305</v>
      </c>
      <c r="B33" s="103" t="s">
        <v>304</v>
      </c>
      <c r="C33" s="112">
        <f>'3. Gesz költségvetés'!M30</f>
        <v>0</v>
      </c>
      <c r="D33" s="112">
        <f>'3. Gesz költségvetés'!N30</f>
        <v>0</v>
      </c>
      <c r="E33" s="112"/>
      <c r="F33" s="112">
        <f t="shared" ref="F33:F36" si="3">SUM(C33:E33)</f>
        <v>0</v>
      </c>
    </row>
    <row r="34" spans="1:7" ht="33.75" customHeight="1" x14ac:dyDescent="0.3">
      <c r="A34" s="107" t="s">
        <v>305</v>
      </c>
      <c r="B34" s="103" t="s">
        <v>306</v>
      </c>
      <c r="C34" s="112">
        <f>'3. Gesz költségvetés'!M31</f>
        <v>0</v>
      </c>
      <c r="D34" s="112">
        <f>'3. Gesz költségvetés'!N31</f>
        <v>0</v>
      </c>
      <c r="E34" s="112"/>
      <c r="F34" s="112">
        <f t="shared" si="3"/>
        <v>0</v>
      </c>
    </row>
    <row r="35" spans="1:7" s="48" customFormat="1" ht="15" customHeight="1" x14ac:dyDescent="0.3">
      <c r="A35" s="107" t="s">
        <v>308</v>
      </c>
      <c r="B35" s="103" t="s">
        <v>307</v>
      </c>
      <c r="C35" s="112">
        <f>SUM(C33:C34)</f>
        <v>0</v>
      </c>
      <c r="D35" s="112">
        <f t="shared" ref="D35" si="4">SUM(D33:D34)</f>
        <v>0</v>
      </c>
      <c r="E35" s="112"/>
      <c r="F35" s="112">
        <f t="shared" si="3"/>
        <v>0</v>
      </c>
    </row>
    <row r="36" spans="1:7" ht="16.8" x14ac:dyDescent="0.3">
      <c r="A36" s="107" t="s">
        <v>310</v>
      </c>
      <c r="B36" s="103" t="s">
        <v>309</v>
      </c>
      <c r="C36" s="136">
        <f>'3. Gesz költségvetés'!M33</f>
        <v>0</v>
      </c>
      <c r="D36" s="136">
        <f>'3. Gesz költségvetés'!N33</f>
        <v>0</v>
      </c>
      <c r="E36" s="136"/>
      <c r="F36" s="112">
        <f t="shared" si="3"/>
        <v>0</v>
      </c>
    </row>
    <row r="37" spans="1:7" ht="16.8" x14ac:dyDescent="0.3">
      <c r="A37" s="130" t="s">
        <v>318</v>
      </c>
      <c r="B37" s="129" t="s">
        <v>317</v>
      </c>
      <c r="C37" s="109">
        <f>SUM(C35:C36)</f>
        <v>0</v>
      </c>
      <c r="D37" s="109">
        <f t="shared" ref="D37:F37" si="5">SUM(D35:D36)</f>
        <v>0</v>
      </c>
      <c r="E37" s="109">
        <f t="shared" si="5"/>
        <v>0</v>
      </c>
      <c r="F37" s="109">
        <f t="shared" si="5"/>
        <v>0</v>
      </c>
    </row>
    <row r="38" spans="1:7" ht="17.399999999999999" thickBot="1" x14ac:dyDescent="0.35">
      <c r="A38" s="140"/>
      <c r="B38" s="141" t="s">
        <v>234</v>
      </c>
      <c r="C38" s="144">
        <f>C29+C37</f>
        <v>350710</v>
      </c>
      <c r="D38" s="144">
        <f t="shared" ref="D38:F38" si="6">D29+D37</f>
        <v>384882</v>
      </c>
      <c r="E38" s="144">
        <f t="shared" si="6"/>
        <v>0</v>
      </c>
      <c r="F38" s="144">
        <f t="shared" si="6"/>
        <v>384882</v>
      </c>
      <c r="G38" s="449" t="e">
        <f>F38-'2.Bevételek_részletes'!#REF!</f>
        <v>#REF!</v>
      </c>
    </row>
    <row r="39" spans="1:7" ht="15" customHeight="1" thickBot="1" x14ac:dyDescent="0.35">
      <c r="A39" s="681"/>
      <c r="B39" s="681"/>
      <c r="C39" s="681"/>
      <c r="D39" s="681"/>
      <c r="E39" s="681"/>
      <c r="F39" s="681"/>
    </row>
    <row r="40" spans="1:7" ht="18" x14ac:dyDescent="0.25">
      <c r="A40" s="1834" t="s">
        <v>242</v>
      </c>
      <c r="B40" s="1836" t="s">
        <v>554</v>
      </c>
      <c r="C40" s="1836" t="s">
        <v>822</v>
      </c>
      <c r="D40" s="1838" t="s">
        <v>823</v>
      </c>
      <c r="E40" s="1839"/>
      <c r="F40" s="1840"/>
    </row>
    <row r="41" spans="1:7" ht="50.4" x14ac:dyDescent="0.25">
      <c r="A41" s="1835"/>
      <c r="B41" s="1837"/>
      <c r="C41" s="1837"/>
      <c r="D41" s="917" t="s">
        <v>117</v>
      </c>
      <c r="E41" s="917" t="s">
        <v>118</v>
      </c>
      <c r="F41" s="939" t="s">
        <v>243</v>
      </c>
    </row>
    <row r="42" spans="1:7" ht="15" customHeight="1" x14ac:dyDescent="0.3">
      <c r="A42" s="91" t="s">
        <v>166</v>
      </c>
      <c r="B42" s="92" t="s">
        <v>167</v>
      </c>
      <c r="C42" s="112">
        <f>'3. Gesz költségvetés'!M39</f>
        <v>163900</v>
      </c>
      <c r="D42" s="112">
        <f>'3. Gesz költségvetés'!N39</f>
        <v>200103</v>
      </c>
      <c r="E42" s="112"/>
      <c r="F42" s="113">
        <f>SUM(D42:E42)</f>
        <v>200103</v>
      </c>
    </row>
    <row r="43" spans="1:7" ht="15" customHeight="1" x14ac:dyDescent="0.3">
      <c r="A43" s="91" t="s">
        <v>168</v>
      </c>
      <c r="B43" s="103" t="s">
        <v>169</v>
      </c>
      <c r="C43" s="112">
        <f>'3. Gesz költségvetés'!M40</f>
        <v>28350</v>
      </c>
      <c r="D43" s="112">
        <f>'3. Gesz költségvetés'!N40</f>
        <v>29543</v>
      </c>
      <c r="E43" s="112"/>
      <c r="F43" s="113">
        <f t="shared" ref="F43:F61" si="7">SUM(D43:E43)</f>
        <v>29543</v>
      </c>
    </row>
    <row r="44" spans="1:7" ht="15" customHeight="1" x14ac:dyDescent="0.3">
      <c r="A44" s="91" t="s">
        <v>170</v>
      </c>
      <c r="B44" s="103" t="s">
        <v>171</v>
      </c>
      <c r="C44" s="112">
        <f>'3. Gesz költségvetés'!M41</f>
        <v>158460</v>
      </c>
      <c r="D44" s="112">
        <f>'3. Gesz költségvetés'!N41</f>
        <v>155236</v>
      </c>
      <c r="E44" s="112"/>
      <c r="F44" s="113">
        <f t="shared" si="7"/>
        <v>155236</v>
      </c>
    </row>
    <row r="45" spans="1:7" ht="15" customHeight="1" x14ac:dyDescent="0.3">
      <c r="A45" s="91" t="s">
        <v>172</v>
      </c>
      <c r="B45" s="95" t="s">
        <v>23</v>
      </c>
      <c r="C45" s="112"/>
      <c r="D45" s="112"/>
      <c r="E45" s="112"/>
      <c r="F45" s="113">
        <f t="shared" si="7"/>
        <v>0</v>
      </c>
    </row>
    <row r="46" spans="1:7" ht="15" customHeight="1" x14ac:dyDescent="0.3">
      <c r="A46" s="91" t="s">
        <v>173</v>
      </c>
      <c r="B46" s="96" t="s">
        <v>174</v>
      </c>
      <c r="C46" s="112"/>
      <c r="D46" s="112"/>
      <c r="E46" s="112"/>
      <c r="F46" s="113">
        <f t="shared" si="7"/>
        <v>0</v>
      </c>
    </row>
    <row r="47" spans="1:7" ht="15" customHeight="1" x14ac:dyDescent="0.3">
      <c r="A47" s="91" t="s">
        <v>176</v>
      </c>
      <c r="B47" s="96" t="s">
        <v>175</v>
      </c>
      <c r="C47" s="112"/>
      <c r="D47" s="112"/>
      <c r="E47" s="112"/>
      <c r="F47" s="113">
        <f t="shared" si="7"/>
        <v>0</v>
      </c>
    </row>
    <row r="48" spans="1:7" ht="15" customHeight="1" x14ac:dyDescent="0.3">
      <c r="A48" s="91" t="s">
        <v>544</v>
      </c>
      <c r="B48" s="97" t="s">
        <v>177</v>
      </c>
      <c r="C48" s="112"/>
      <c r="D48" s="112"/>
      <c r="E48" s="112"/>
      <c r="F48" s="113">
        <f t="shared" si="7"/>
        <v>0</v>
      </c>
    </row>
    <row r="49" spans="1:7" ht="15" customHeight="1" x14ac:dyDescent="0.3">
      <c r="A49" s="91" t="s">
        <v>544</v>
      </c>
      <c r="B49" s="97" t="s">
        <v>121</v>
      </c>
      <c r="C49" s="112"/>
      <c r="D49" s="112"/>
      <c r="E49" s="112"/>
      <c r="F49" s="113">
        <f t="shared" si="7"/>
        <v>0</v>
      </c>
    </row>
    <row r="50" spans="1:7" ht="15" customHeight="1" x14ac:dyDescent="0.3">
      <c r="A50" s="91" t="s">
        <v>544</v>
      </c>
      <c r="B50" s="97" t="s">
        <v>178</v>
      </c>
      <c r="C50" s="112"/>
      <c r="D50" s="112"/>
      <c r="E50" s="112"/>
      <c r="F50" s="113">
        <f t="shared" si="7"/>
        <v>0</v>
      </c>
    </row>
    <row r="51" spans="1:7" ht="15" customHeight="1" x14ac:dyDescent="0.3">
      <c r="A51" s="91" t="s">
        <v>179</v>
      </c>
      <c r="B51" s="95" t="s">
        <v>180</v>
      </c>
      <c r="C51" s="112">
        <f>'3. Gesz költségvetés'!M47</f>
        <v>0</v>
      </c>
      <c r="D51" s="112">
        <f>'3. Gesz költségvetés'!N47</f>
        <v>0</v>
      </c>
      <c r="E51" s="112"/>
      <c r="F51" s="113">
        <f t="shared" si="7"/>
        <v>0</v>
      </c>
    </row>
    <row r="52" spans="1:7" ht="15" customHeight="1" x14ac:dyDescent="0.3">
      <c r="A52" s="91" t="s">
        <v>181</v>
      </c>
      <c r="B52" s="123" t="s">
        <v>321</v>
      </c>
      <c r="C52" s="112">
        <f>'3. Gesz költségvetés'!M49</f>
        <v>0</v>
      </c>
      <c r="D52" s="112">
        <f>'3. Gesz költségvetés'!N49</f>
        <v>0</v>
      </c>
      <c r="E52" s="112"/>
      <c r="F52" s="113">
        <f t="shared" si="7"/>
        <v>0</v>
      </c>
    </row>
    <row r="53" spans="1:7" ht="15" customHeight="1" x14ac:dyDescent="0.3">
      <c r="A53" s="91" t="s">
        <v>182</v>
      </c>
      <c r="B53" s="95" t="s">
        <v>183</v>
      </c>
      <c r="C53" s="112">
        <f>'3. Gesz költségvetés'!M50</f>
        <v>0</v>
      </c>
      <c r="D53" s="112"/>
      <c r="E53" s="112"/>
      <c r="F53" s="113">
        <f t="shared" si="7"/>
        <v>0</v>
      </c>
    </row>
    <row r="54" spans="1:7" ht="15" customHeight="1" x14ac:dyDescent="0.3">
      <c r="A54" s="91" t="s">
        <v>141</v>
      </c>
      <c r="B54" s="95" t="s">
        <v>120</v>
      </c>
      <c r="C54" s="112"/>
      <c r="D54" s="112"/>
      <c r="E54" s="112"/>
      <c r="F54" s="113">
        <f t="shared" si="7"/>
        <v>0</v>
      </c>
    </row>
    <row r="55" spans="1:7" ht="15" customHeight="1" x14ac:dyDescent="0.3">
      <c r="A55" s="91" t="s">
        <v>184</v>
      </c>
      <c r="B55" s="95" t="s">
        <v>185</v>
      </c>
      <c r="C55" s="112"/>
      <c r="D55" s="112"/>
      <c r="E55" s="112"/>
      <c r="F55" s="113">
        <f t="shared" si="7"/>
        <v>0</v>
      </c>
    </row>
    <row r="56" spans="1:7" ht="15" customHeight="1" x14ac:dyDescent="0.3">
      <c r="A56" s="91" t="s">
        <v>186</v>
      </c>
      <c r="B56" s="95" t="s">
        <v>187</v>
      </c>
      <c r="C56" s="112">
        <f>'3. Gesz költségvetés'!M51</f>
        <v>0</v>
      </c>
      <c r="D56" s="112"/>
      <c r="E56" s="112"/>
      <c r="F56" s="113">
        <f t="shared" si="7"/>
        <v>0</v>
      </c>
    </row>
    <row r="57" spans="1:7" ht="15" customHeight="1" x14ac:dyDescent="0.3">
      <c r="A57" s="131"/>
      <c r="B57" s="128" t="s">
        <v>202</v>
      </c>
      <c r="C57" s="138">
        <f>SUM(C42:C45,C51)</f>
        <v>350710</v>
      </c>
      <c r="D57" s="138">
        <f t="shared" ref="D57:F57" si="8">SUM(D42:D45,D51)</f>
        <v>384882</v>
      </c>
      <c r="E57" s="138">
        <f t="shared" si="8"/>
        <v>0</v>
      </c>
      <c r="F57" s="138">
        <f t="shared" si="8"/>
        <v>384882</v>
      </c>
    </row>
    <row r="58" spans="1:7" ht="15" customHeight="1" x14ac:dyDescent="0.3">
      <c r="A58" s="131"/>
      <c r="B58" s="128" t="s">
        <v>203</v>
      </c>
      <c r="C58" s="138">
        <f>SUM(C52:C56,C56)</f>
        <v>0</v>
      </c>
      <c r="D58" s="138">
        <f t="shared" ref="D58:F58" si="9">SUM(D52:D56,D56)</f>
        <v>0</v>
      </c>
      <c r="E58" s="138">
        <f t="shared" si="9"/>
        <v>0</v>
      </c>
      <c r="F58" s="138">
        <f t="shared" si="9"/>
        <v>0</v>
      </c>
    </row>
    <row r="59" spans="1:7" ht="15" customHeight="1" x14ac:dyDescent="0.3">
      <c r="A59" s="105" t="s">
        <v>188</v>
      </c>
      <c r="B59" s="100" t="s">
        <v>189</v>
      </c>
      <c r="C59" s="109">
        <f>C57+C58</f>
        <v>350710</v>
      </c>
      <c r="D59" s="109">
        <f t="shared" ref="D59:F59" si="10">D57+D58</f>
        <v>384882</v>
      </c>
      <c r="E59" s="109">
        <f t="shared" si="10"/>
        <v>0</v>
      </c>
      <c r="F59" s="109">
        <f t="shared" si="10"/>
        <v>384882</v>
      </c>
    </row>
    <row r="60" spans="1:7" ht="15" customHeight="1" x14ac:dyDescent="0.3">
      <c r="A60" s="107" t="s">
        <v>190</v>
      </c>
      <c r="B60" s="95" t="s">
        <v>142</v>
      </c>
      <c r="C60" s="101"/>
      <c r="D60" s="101"/>
      <c r="E60" s="101"/>
      <c r="F60" s="113">
        <f t="shared" si="7"/>
        <v>0</v>
      </c>
    </row>
    <row r="61" spans="1:7" ht="15" customHeight="1" x14ac:dyDescent="0.3">
      <c r="A61" s="107" t="s">
        <v>204</v>
      </c>
      <c r="B61" s="95" t="s">
        <v>205</v>
      </c>
      <c r="C61" s="126"/>
      <c r="D61" s="126"/>
      <c r="E61" s="126"/>
      <c r="F61" s="113">
        <f t="shared" si="7"/>
        <v>0</v>
      </c>
    </row>
    <row r="62" spans="1:7" ht="15" customHeight="1" x14ac:dyDescent="0.3">
      <c r="A62" s="130" t="s">
        <v>200</v>
      </c>
      <c r="B62" s="129" t="s">
        <v>26</v>
      </c>
      <c r="C62" s="109">
        <f>SUM(C60:C61)</f>
        <v>0</v>
      </c>
      <c r="D62" s="109">
        <f t="shared" ref="D62:F62" si="11">SUM(D60:D61)</f>
        <v>0</v>
      </c>
      <c r="E62" s="109">
        <f t="shared" si="11"/>
        <v>0</v>
      </c>
      <c r="F62" s="109">
        <f t="shared" si="11"/>
        <v>0</v>
      </c>
    </row>
    <row r="63" spans="1:7" ht="17.399999999999999" thickBot="1" x14ac:dyDescent="0.35">
      <c r="A63" s="140"/>
      <c r="B63" s="141" t="s">
        <v>224</v>
      </c>
      <c r="C63" s="144">
        <f>SUM(C59,C62)</f>
        <v>350710</v>
      </c>
      <c r="D63" s="144">
        <f t="shared" ref="D63:F63" si="12">SUM(D59,D62)</f>
        <v>384882</v>
      </c>
      <c r="E63" s="144">
        <f t="shared" si="12"/>
        <v>0</v>
      </c>
      <c r="F63" s="144">
        <f t="shared" si="12"/>
        <v>384882</v>
      </c>
      <c r="G63" s="449">
        <f>F63-'3. Gesz költségvetés'!N53</f>
        <v>0</v>
      </c>
    </row>
    <row r="64" spans="1:7" ht="15" hidden="1" customHeight="1" x14ac:dyDescent="0.25"/>
    <row r="65" spans="6:6" ht="15" hidden="1" customHeight="1" x14ac:dyDescent="0.25">
      <c r="F65" s="449">
        <f>F38-F63</f>
        <v>0</v>
      </c>
    </row>
    <row r="66" spans="6:6" ht="15" hidden="1" customHeight="1" x14ac:dyDescent="0.25">
      <c r="F66" s="449"/>
    </row>
    <row r="67" spans="6:6" ht="15" hidden="1" customHeight="1" x14ac:dyDescent="0.25"/>
    <row r="68" spans="6:6" ht="15" hidden="1" customHeight="1" x14ac:dyDescent="0.25"/>
  </sheetData>
  <mergeCells count="11">
    <mergeCell ref="A40:A41"/>
    <mergeCell ref="B40:B41"/>
    <mergeCell ref="C40:C41"/>
    <mergeCell ref="D40:F40"/>
    <mergeCell ref="A1:F1"/>
    <mergeCell ref="A2:F2"/>
    <mergeCell ref="A4:F4"/>
    <mergeCell ref="A7:A8"/>
    <mergeCell ref="B7:B8"/>
    <mergeCell ref="C7:C8"/>
    <mergeCell ref="D7:F7"/>
  </mergeCells>
  <printOptions horizontalCentered="1"/>
  <pageMargins left="0.31496062992125984" right="0.27559055118110237" top="0.27559055118110237" bottom="0.31496062992125984" header="0.51181102362204722" footer="0.1574803149606299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36</vt:i4>
      </vt:variant>
      <vt:variant>
        <vt:lpstr>Névvel ellátott tartományok</vt:lpstr>
      </vt:variant>
      <vt:variant>
        <vt:i4>40</vt:i4>
      </vt:variant>
    </vt:vector>
  </HeadingPairs>
  <TitlesOfParts>
    <vt:vector size="76" baseType="lpstr">
      <vt:lpstr>Munka1</vt:lpstr>
      <vt:lpstr>Tartalomjegyzék_2021</vt:lpstr>
      <vt:lpstr>1.Bev_kiad_kiemelt ei</vt:lpstr>
      <vt:lpstr>2.Bevételek_részletes</vt:lpstr>
      <vt:lpstr>2.Kiadások_részletes </vt:lpstr>
      <vt:lpstr>3. Gesz költségvetés</vt:lpstr>
      <vt:lpstr>4. Köt+önk_Önkori</vt:lpstr>
      <vt:lpstr>5. Köt+önk_PH</vt:lpstr>
      <vt:lpstr>6. Köt+önk_Szakorvosi</vt:lpstr>
      <vt:lpstr>7.Ligeti cseperedő Ovi</vt:lpstr>
      <vt:lpstr>8.Német nemzetiségi Ovi</vt:lpstr>
      <vt:lpstr>9.Művészetek Háza</vt:lpstr>
      <vt:lpstr>10.GESZ</vt:lpstr>
      <vt:lpstr>11. Bölcsöde</vt:lpstr>
      <vt:lpstr>12.-Támogatási bevételek (B (2)</vt:lpstr>
      <vt:lpstr>13.- Költségvetési támogatások</vt:lpstr>
      <vt:lpstr>14. Intézményi normatíva</vt:lpstr>
      <vt:lpstr>15. Működési bev. (B3,B4)</vt:lpstr>
      <vt:lpstr>16. Átvett pénze.(B6,B7)</vt:lpstr>
      <vt:lpstr>17. finanszírozás be_ki (B8,K9)</vt:lpstr>
      <vt:lpstr>18. Dologi kiadások cofog(K3)</vt:lpstr>
      <vt:lpstr>18.Dologi kiad.Igazg.</vt:lpstr>
      <vt:lpstr>19._Ellátottak p.jutattás (K4)</vt:lpstr>
      <vt:lpstr>20. Pe. átad. és tám. (K5)</vt:lpstr>
      <vt:lpstr>21. Tartalékok (K512)</vt:lpstr>
      <vt:lpstr>22. Beruházás (K6)</vt:lpstr>
      <vt:lpstr>23. Felújítás (K7)</vt:lpstr>
      <vt:lpstr>24.-Több éves elköt.</vt:lpstr>
      <vt:lpstr>25.sz.létszám</vt:lpstr>
      <vt:lpstr>26. ktgv.mérleg</vt:lpstr>
      <vt:lpstr>27.eir.felh.ütemterv</vt:lpstr>
      <vt:lpstr>28.sz.finansz.ütemterv</vt:lpstr>
      <vt:lpstr>29.sz.közvetett tám. (2)</vt:lpstr>
      <vt:lpstr>30.sz.adósságszolgálat</vt:lpstr>
      <vt:lpstr>31. gördülő</vt:lpstr>
      <vt:lpstr>33. EU projekt</vt:lpstr>
      <vt:lpstr>'29.sz.közvetett tám. (2)'!_ftnref1</vt:lpstr>
      <vt:lpstr>'24.-Több éves elköt.'!_pr236</vt:lpstr>
      <vt:lpstr>'24.-Több éves elköt.'!_pr313</vt:lpstr>
      <vt:lpstr>'24.-Több éves elköt.'!_pr315</vt:lpstr>
      <vt:lpstr>Tartalomjegyzék_2021!gitta</vt:lpstr>
      <vt:lpstr>'13.- Költségvetési támogatások'!Nyomtatási_cím</vt:lpstr>
      <vt:lpstr>'1.Bev_kiad_kiemelt ei'!Nyomtatási_terület</vt:lpstr>
      <vt:lpstr>'10.GESZ'!Nyomtatási_terület</vt:lpstr>
      <vt:lpstr>'11. Bölcsöde'!Nyomtatási_terület</vt:lpstr>
      <vt:lpstr>'12.-Támogatási bevételek (B (2)'!Nyomtatási_terület</vt:lpstr>
      <vt:lpstr>'13.- Költségvetési támogatások'!Nyomtatási_terület</vt:lpstr>
      <vt:lpstr>'14. Intézményi normatíva'!Nyomtatási_terület</vt:lpstr>
      <vt:lpstr>'15. Működési bev. (B3,B4)'!Nyomtatási_terület</vt:lpstr>
      <vt:lpstr>'16. Átvett pénze.(B6,B7)'!Nyomtatási_terület</vt:lpstr>
      <vt:lpstr>'17. finanszírozás be_ki (B8,K9)'!Nyomtatási_terület</vt:lpstr>
      <vt:lpstr>'18. Dologi kiadások cofog(K3)'!Nyomtatási_terület</vt:lpstr>
      <vt:lpstr>'19._Ellátottak p.jutattás (K4)'!Nyomtatási_terület</vt:lpstr>
      <vt:lpstr>'2.Bevételek_részletes'!Nyomtatási_terület</vt:lpstr>
      <vt:lpstr>'2.Kiadások_részletes '!Nyomtatási_terület</vt:lpstr>
      <vt:lpstr>'20. Pe. átad. és tám. (K5)'!Nyomtatási_terület</vt:lpstr>
      <vt:lpstr>'21. Tartalékok (K512)'!Nyomtatási_terület</vt:lpstr>
      <vt:lpstr>'22. Beruházás (K6)'!Nyomtatási_terület</vt:lpstr>
      <vt:lpstr>'23. Felújítás (K7)'!Nyomtatási_terület</vt:lpstr>
      <vt:lpstr>'24.-Több éves elköt.'!Nyomtatási_terület</vt:lpstr>
      <vt:lpstr>'25.sz.létszám'!Nyomtatási_terület</vt:lpstr>
      <vt:lpstr>'26. ktgv.mérleg'!Nyomtatási_terület</vt:lpstr>
      <vt:lpstr>'27.eir.felh.ütemterv'!Nyomtatási_terület</vt:lpstr>
      <vt:lpstr>'28.sz.finansz.ütemterv'!Nyomtatási_terület</vt:lpstr>
      <vt:lpstr>'29.sz.közvetett tám. (2)'!Nyomtatási_terület</vt:lpstr>
      <vt:lpstr>'3. Gesz költségvetés'!Nyomtatási_terület</vt:lpstr>
      <vt:lpstr>'30.sz.adósságszolgálat'!Nyomtatási_terület</vt:lpstr>
      <vt:lpstr>'31. gördülő'!Nyomtatási_terület</vt:lpstr>
      <vt:lpstr>'33. EU projekt'!Nyomtatási_terület</vt:lpstr>
      <vt:lpstr>'4. Köt+önk_Önkori'!Nyomtatási_terület</vt:lpstr>
      <vt:lpstr>'5. Köt+önk_PH'!Nyomtatási_terület</vt:lpstr>
      <vt:lpstr>'6. Köt+önk_Szakorvosi'!Nyomtatási_terület</vt:lpstr>
      <vt:lpstr>'7.Ligeti cseperedő Ovi'!Nyomtatási_terület</vt:lpstr>
      <vt:lpstr>'8.Német nemzetiségi Ovi'!Nyomtatási_terület</vt:lpstr>
      <vt:lpstr>'9.Művészetek Háza'!Nyomtatási_terület</vt:lpstr>
      <vt:lpstr>Tartalomjegyzék_2021!Nyomtatási_terület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Felhasznalo</cp:lastModifiedBy>
  <cp:lastPrinted>2021-02-10T07:52:32Z</cp:lastPrinted>
  <dcterms:created xsi:type="dcterms:W3CDTF">2015-01-09T09:03:33Z</dcterms:created>
  <dcterms:modified xsi:type="dcterms:W3CDTF">2021-02-12T10:26:11Z</dcterms:modified>
</cp:coreProperties>
</file>